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8195" windowHeight="9405" activeTab="1"/>
  </bookViews>
  <sheets>
    <sheet name="Summary" sheetId="2" r:id="rId1"/>
    <sheet name="Table 5B1_RSD_Orleans" sheetId="1" r:id="rId2"/>
    <sheet name="October midyear adj" sheetId="4" r:id="rId3"/>
    <sheet name="February midyear adj 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1_2004_2005_AFR_4_Ad_Valorem_Taxes" localSheetId="3">#REF!</definedName>
    <definedName name="_1_2004_2005_AFR_4_Ad_Valorem_Taxes" localSheetId="2">#REF!</definedName>
    <definedName name="_1_2004_2005_AFR_4_Ad_Valorem_Taxes" localSheetId="0">#REF!</definedName>
    <definedName name="_1_2004_2005_AFR_4_Ad_Valorem_Taxes">#REF!</definedName>
    <definedName name="_2004_2005_AFR_4_Ad_Valorem_Taxes" localSheetId="3">#REF!</definedName>
    <definedName name="_2004_2005_AFR_4_Ad_Valorem_Taxes" localSheetId="0">#REF!</definedName>
    <definedName name="_2004_2005_AFR_4_Ad_Valorem_Taxes">#REF!</definedName>
    <definedName name="Import_Elem_Secondary_ByLEA" localSheetId="3">#REF!</definedName>
    <definedName name="Import_Elem_Secondary_ByLEA" localSheetId="0">#REF!</definedName>
    <definedName name="Import_Elem_Secondary_ByLEA">#REF!</definedName>
    <definedName name="Import_K_12_ByLEA" localSheetId="3">#REF!</definedName>
    <definedName name="Import_K_12_ByLEA" localSheetId="0">#REF!</definedName>
    <definedName name="Import_K_12_ByLEA">#REF!</definedName>
    <definedName name="Import_MFP_and_Other_Funded_ByLEA" localSheetId="3">#REF!</definedName>
    <definedName name="Import_MFP_and_Other_Funded_ByLEA" localSheetId="0">#REF!</definedName>
    <definedName name="Import_MFP_and_Other_Funded_ByLEA">#REF!</definedName>
    <definedName name="Import_Total_Reported_ByLEA" localSheetId="3">#REF!</definedName>
    <definedName name="Import_Total_Reported_ByLEA" localSheetId="0">#REF!</definedName>
    <definedName name="Import_Total_Reported_ByLEA">#REF!</definedName>
    <definedName name="_xlnm.Print_Area" localSheetId="3">'February midyear adj '!$A$1:$M$208</definedName>
    <definedName name="_xlnm.Print_Area" localSheetId="2">'October midyear adj'!$A$1:$M$208</definedName>
    <definedName name="_xlnm.Print_Area" localSheetId="0">Summary!$A$1:$E$63</definedName>
    <definedName name="_xlnm.Print_Area" localSheetId="1">'Table 5B1_RSD_Orleans'!$A$2:$BB$74</definedName>
    <definedName name="_xlnm.Print_Titles" localSheetId="3">'February midyear adj '!$A:$B,'February midyear adj '!$2:$5</definedName>
    <definedName name="_xlnm.Print_Titles" localSheetId="2">'October midyear adj'!$A:$B,'October midyear adj'!$2:$5</definedName>
    <definedName name="_xlnm.Print_Titles" localSheetId="0">Summary!$B:$B,Summary!$2:$5</definedName>
    <definedName name="_xlnm.Print_Titles" localSheetId="1">'Table 5B1_RSD_Orleans'!$B:$B,'Table 5B1_RSD_Orleans'!$3:$6</definedName>
  </definedNames>
  <calcPr calcId="145621"/>
</workbook>
</file>

<file path=xl/calcChain.xml><?xml version="1.0" encoding="utf-8"?>
<calcChain xmlns="http://schemas.openxmlformats.org/spreadsheetml/2006/main">
  <c r="BC9" i="1" l="1"/>
  <c r="BA6" i="1"/>
  <c r="BB6" i="1"/>
  <c r="AV72" i="1" l="1"/>
  <c r="AD72" i="1"/>
  <c r="AV66" i="1" l="1"/>
  <c r="AV65" i="1"/>
  <c r="AV64" i="1"/>
  <c r="AV63" i="1"/>
  <c r="AV62" i="1"/>
  <c r="AV61" i="1"/>
  <c r="AV60" i="1"/>
  <c r="AV59" i="1"/>
  <c r="AV58" i="1"/>
  <c r="AV57" i="1"/>
  <c r="AV56" i="1"/>
  <c r="AV55" i="1"/>
  <c r="AV54" i="1"/>
  <c r="AV53" i="1"/>
  <c r="AV52" i="1"/>
  <c r="AV51" i="1"/>
  <c r="AV50" i="1"/>
  <c r="AV49" i="1"/>
  <c r="AV48" i="1"/>
  <c r="AV47" i="1"/>
  <c r="AV46" i="1"/>
  <c r="AV45" i="1"/>
  <c r="AV44" i="1"/>
  <c r="AV43" i="1"/>
  <c r="AV42" i="1"/>
  <c r="AV41" i="1"/>
  <c r="AV40" i="1"/>
  <c r="AV39" i="1"/>
  <c r="AV38" i="1"/>
  <c r="AV37" i="1"/>
  <c r="AV36" i="1"/>
  <c r="AV35" i="1"/>
  <c r="AV34" i="1"/>
  <c r="AV33" i="1"/>
  <c r="AV32" i="1"/>
  <c r="AV31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V10" i="1"/>
  <c r="AV7" i="1"/>
  <c r="AD66" i="1" l="1"/>
  <c r="AD28" i="1"/>
  <c r="AD60" i="1"/>
  <c r="AD15" i="1"/>
  <c r="AD38" i="1"/>
  <c r="AD44" i="1"/>
  <c r="AD53" i="1"/>
  <c r="AD50" i="1"/>
  <c r="AD29" i="1"/>
  <c r="AD35" i="1"/>
  <c r="AD23" i="1"/>
  <c r="AD33" i="1"/>
  <c r="AD37" i="1"/>
  <c r="AD65" i="1"/>
  <c r="AD62" i="1"/>
  <c r="AD12" i="1"/>
  <c r="AD48" i="1"/>
  <c r="AD63" i="1"/>
  <c r="AD24" i="1"/>
  <c r="AD54" i="1"/>
  <c r="AD57" i="1"/>
  <c r="AD14" i="1"/>
  <c r="AD30" i="1" l="1"/>
  <c r="AD39" i="1"/>
  <c r="AD18" i="1"/>
  <c r="AD41" i="1"/>
  <c r="AD64" i="1"/>
  <c r="AD61" i="1"/>
  <c r="AD34" i="1"/>
  <c r="AD16" i="1"/>
  <c r="AD26" i="1"/>
  <c r="AD42" i="1"/>
  <c r="AD43" i="1"/>
  <c r="AD17" i="1"/>
  <c r="AD21" i="1"/>
  <c r="AD27" i="1"/>
  <c r="AD46" i="1"/>
  <c r="AD31" i="1"/>
  <c r="AD45" i="1"/>
  <c r="AD56" i="1"/>
  <c r="AD22" i="1"/>
  <c r="AD36" i="1"/>
  <c r="AD58" i="1"/>
  <c r="AD40" i="1"/>
  <c r="AD51" i="1"/>
  <c r="AD52" i="1"/>
  <c r="AD13" i="1"/>
  <c r="AD32" i="1"/>
  <c r="AD19" i="1"/>
  <c r="AD49" i="1"/>
  <c r="AD59" i="1"/>
  <c r="AD55" i="1"/>
  <c r="AD11" i="1"/>
  <c r="AD47" i="1"/>
  <c r="AD20" i="1"/>
  <c r="AD25" i="1"/>
  <c r="AD7" i="1"/>
  <c r="AD10" i="1" l="1"/>
  <c r="AV67" i="1" l="1"/>
  <c r="AV68" i="1" s="1"/>
  <c r="AD67" i="1"/>
  <c r="AD68" i="1" s="1"/>
  <c r="AT6" i="1"/>
  <c r="AU6" i="1" s="1"/>
  <c r="AV6" i="1" s="1"/>
  <c r="AW6" i="1" s="1"/>
  <c r="AX6" i="1" s="1"/>
  <c r="AY6" i="1" s="1"/>
  <c r="AZ6" i="1" s="1"/>
  <c r="AE6" i="1"/>
  <c r="AF6" i="1"/>
  <c r="AG6" i="1" s="1"/>
  <c r="AB6" i="1"/>
  <c r="AC6" i="1" s="1"/>
  <c r="AD6" i="1" s="1"/>
  <c r="AT67" i="1" l="1"/>
  <c r="AT68" i="1" s="1"/>
  <c r="AB72" i="1" l="1"/>
  <c r="AB68" i="1"/>
  <c r="AB67" i="1"/>
  <c r="R5" i="1"/>
  <c r="AH5" i="1"/>
  <c r="AG5" i="1"/>
  <c r="L23" i="1" l="1"/>
  <c r="J23" i="1"/>
  <c r="H23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7" i="1"/>
  <c r="H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D5" i="1" l="1"/>
  <c r="I5" i="1"/>
  <c r="M5" i="1"/>
  <c r="K5" i="1"/>
  <c r="K224" i="4" l="1"/>
  <c r="K222" i="4"/>
  <c r="D222" i="4"/>
  <c r="K221" i="4"/>
  <c r="D221" i="4"/>
  <c r="K220" i="4"/>
  <c r="D220" i="4"/>
  <c r="C220" i="4"/>
  <c r="M206" i="4"/>
  <c r="L206" i="4"/>
  <c r="E206" i="4"/>
  <c r="I203" i="4"/>
  <c r="D203" i="4"/>
  <c r="C203" i="4"/>
  <c r="C204" i="4" s="1"/>
  <c r="I200" i="4"/>
  <c r="D200" i="4"/>
  <c r="D201" i="4" s="1"/>
  <c r="C200" i="4"/>
  <c r="C201" i="4" s="1"/>
  <c r="I197" i="4"/>
  <c r="H197" i="4"/>
  <c r="J197" i="4" s="1"/>
  <c r="D197" i="4"/>
  <c r="C197" i="4"/>
  <c r="I196" i="4"/>
  <c r="H196" i="4"/>
  <c r="D196" i="4"/>
  <c r="C196" i="4"/>
  <c r="I195" i="4"/>
  <c r="H195" i="4"/>
  <c r="J195" i="4" s="1"/>
  <c r="D195" i="4"/>
  <c r="C195" i="4"/>
  <c r="I194" i="4"/>
  <c r="H194" i="4"/>
  <c r="D194" i="4"/>
  <c r="C194" i="4"/>
  <c r="I193" i="4"/>
  <c r="H193" i="4"/>
  <c r="J193" i="4" s="1"/>
  <c r="D193" i="4"/>
  <c r="C193" i="4"/>
  <c r="I192" i="4"/>
  <c r="H192" i="4"/>
  <c r="D192" i="4"/>
  <c r="C192" i="4"/>
  <c r="I191" i="4"/>
  <c r="H191" i="4"/>
  <c r="J191" i="4" s="1"/>
  <c r="D191" i="4"/>
  <c r="C191" i="4"/>
  <c r="I190" i="4"/>
  <c r="H190" i="4"/>
  <c r="D190" i="4"/>
  <c r="C190" i="4"/>
  <c r="I189" i="4"/>
  <c r="H189" i="4"/>
  <c r="J189" i="4" s="1"/>
  <c r="D189" i="4"/>
  <c r="C189" i="4"/>
  <c r="I188" i="4"/>
  <c r="H188" i="4"/>
  <c r="D188" i="4"/>
  <c r="C188" i="4"/>
  <c r="I187" i="4"/>
  <c r="H187" i="4"/>
  <c r="J187" i="4" s="1"/>
  <c r="D187" i="4"/>
  <c r="C187" i="4"/>
  <c r="I186" i="4"/>
  <c r="H186" i="4"/>
  <c r="D186" i="4"/>
  <c r="C186" i="4"/>
  <c r="I185" i="4"/>
  <c r="H185" i="4"/>
  <c r="J185" i="4" s="1"/>
  <c r="D185" i="4"/>
  <c r="C185" i="4"/>
  <c r="I184" i="4"/>
  <c r="H184" i="4"/>
  <c r="D184" i="4"/>
  <c r="C184" i="4"/>
  <c r="I183" i="4"/>
  <c r="H183" i="4"/>
  <c r="J183" i="4" s="1"/>
  <c r="D183" i="4"/>
  <c r="C183" i="4"/>
  <c r="I182" i="4"/>
  <c r="H182" i="4"/>
  <c r="D182" i="4"/>
  <c r="C182" i="4"/>
  <c r="I181" i="4"/>
  <c r="H181" i="4"/>
  <c r="J181" i="4" s="1"/>
  <c r="D181" i="4"/>
  <c r="C181" i="4"/>
  <c r="I180" i="4"/>
  <c r="H180" i="4"/>
  <c r="D180" i="4"/>
  <c r="C180" i="4"/>
  <c r="I179" i="4"/>
  <c r="H179" i="4"/>
  <c r="D179" i="4"/>
  <c r="C179" i="4"/>
  <c r="I178" i="4"/>
  <c r="H178" i="4"/>
  <c r="D178" i="4"/>
  <c r="C178" i="4"/>
  <c r="I177" i="4"/>
  <c r="H177" i="4"/>
  <c r="J177" i="4" s="1"/>
  <c r="D177" i="4"/>
  <c r="C177" i="4"/>
  <c r="I176" i="4"/>
  <c r="H176" i="4"/>
  <c r="J176" i="4" s="1"/>
  <c r="D176" i="4"/>
  <c r="C176" i="4"/>
  <c r="I175" i="4"/>
  <c r="H175" i="4"/>
  <c r="J175" i="4" s="1"/>
  <c r="D175" i="4"/>
  <c r="C175" i="4"/>
  <c r="I174" i="4"/>
  <c r="H174" i="4"/>
  <c r="D174" i="4"/>
  <c r="C174" i="4"/>
  <c r="I173" i="4"/>
  <c r="H173" i="4"/>
  <c r="J173" i="4" s="1"/>
  <c r="D173" i="4"/>
  <c r="C173" i="4"/>
  <c r="I172" i="4"/>
  <c r="H172" i="4"/>
  <c r="J172" i="4" s="1"/>
  <c r="D172" i="4"/>
  <c r="C172" i="4"/>
  <c r="I171" i="4"/>
  <c r="H171" i="4"/>
  <c r="J171" i="4" s="1"/>
  <c r="D171" i="4"/>
  <c r="C171" i="4"/>
  <c r="I170" i="4"/>
  <c r="H170" i="4"/>
  <c r="D170" i="4"/>
  <c r="C170" i="4"/>
  <c r="I169" i="4"/>
  <c r="H169" i="4"/>
  <c r="J169" i="4" s="1"/>
  <c r="D169" i="4"/>
  <c r="C169" i="4"/>
  <c r="I168" i="4"/>
  <c r="H168" i="4"/>
  <c r="J168" i="4" s="1"/>
  <c r="D168" i="4"/>
  <c r="C168" i="4"/>
  <c r="I167" i="4"/>
  <c r="H167" i="4"/>
  <c r="J167" i="4" s="1"/>
  <c r="D167" i="4"/>
  <c r="C167" i="4"/>
  <c r="I166" i="4"/>
  <c r="H166" i="4"/>
  <c r="D166" i="4"/>
  <c r="C166" i="4"/>
  <c r="I165" i="4"/>
  <c r="H165" i="4"/>
  <c r="J165" i="4" s="1"/>
  <c r="D165" i="4"/>
  <c r="C165" i="4"/>
  <c r="I164" i="4"/>
  <c r="H164" i="4"/>
  <c r="D164" i="4"/>
  <c r="C164" i="4"/>
  <c r="I163" i="4"/>
  <c r="H163" i="4"/>
  <c r="J163" i="4" s="1"/>
  <c r="D163" i="4"/>
  <c r="C163" i="4"/>
  <c r="I162" i="4"/>
  <c r="H162" i="4"/>
  <c r="D162" i="4"/>
  <c r="C162" i="4"/>
  <c r="I161" i="4"/>
  <c r="H161" i="4"/>
  <c r="J161" i="4" s="1"/>
  <c r="D161" i="4"/>
  <c r="C161" i="4"/>
  <c r="I160" i="4"/>
  <c r="H160" i="4"/>
  <c r="J160" i="4" s="1"/>
  <c r="D160" i="4"/>
  <c r="C160" i="4"/>
  <c r="I159" i="4"/>
  <c r="H159" i="4"/>
  <c r="J159" i="4" s="1"/>
  <c r="D159" i="4"/>
  <c r="C159" i="4"/>
  <c r="I158" i="4"/>
  <c r="H158" i="4"/>
  <c r="D158" i="4"/>
  <c r="C158" i="4"/>
  <c r="E158" i="4" s="1"/>
  <c r="I157" i="4"/>
  <c r="H157" i="4"/>
  <c r="J157" i="4" s="1"/>
  <c r="D157" i="4"/>
  <c r="C157" i="4"/>
  <c r="E157" i="4" s="1"/>
  <c r="Q26" i="1" s="1"/>
  <c r="I156" i="4"/>
  <c r="H156" i="4"/>
  <c r="D156" i="4"/>
  <c r="C156" i="4"/>
  <c r="I155" i="4"/>
  <c r="H155" i="4"/>
  <c r="J155" i="4" s="1"/>
  <c r="D155" i="4"/>
  <c r="C155" i="4"/>
  <c r="I154" i="4"/>
  <c r="H154" i="4"/>
  <c r="D154" i="4"/>
  <c r="C154" i="4"/>
  <c r="E154" i="4" s="1"/>
  <c r="Q23" i="1" s="1"/>
  <c r="I153" i="4"/>
  <c r="H153" i="4"/>
  <c r="D153" i="4"/>
  <c r="C153" i="4"/>
  <c r="I152" i="4"/>
  <c r="H152" i="4"/>
  <c r="J152" i="4" s="1"/>
  <c r="D152" i="4"/>
  <c r="C152" i="4"/>
  <c r="I151" i="4"/>
  <c r="H151" i="4"/>
  <c r="J151" i="4" s="1"/>
  <c r="D151" i="4"/>
  <c r="C151" i="4"/>
  <c r="I150" i="4"/>
  <c r="H150" i="4"/>
  <c r="D150" i="4"/>
  <c r="C150" i="4"/>
  <c r="E150" i="4" s="1"/>
  <c r="I149" i="4"/>
  <c r="H149" i="4"/>
  <c r="J149" i="4" s="1"/>
  <c r="D149" i="4"/>
  <c r="C149" i="4"/>
  <c r="E149" i="4" s="1"/>
  <c r="Q18" i="1" s="1"/>
  <c r="I148" i="4"/>
  <c r="H148" i="4"/>
  <c r="J148" i="4" s="1"/>
  <c r="D148" i="4"/>
  <c r="C148" i="4"/>
  <c r="I147" i="4"/>
  <c r="H147" i="4"/>
  <c r="J147" i="4" s="1"/>
  <c r="D147" i="4"/>
  <c r="C147" i="4"/>
  <c r="I146" i="4"/>
  <c r="H146" i="4"/>
  <c r="D146" i="4"/>
  <c r="C146" i="4"/>
  <c r="E146" i="4" s="1"/>
  <c r="Q15" i="1" s="1"/>
  <c r="I145" i="4"/>
  <c r="H145" i="4"/>
  <c r="D145" i="4"/>
  <c r="C145" i="4"/>
  <c r="I144" i="4"/>
  <c r="H144" i="4"/>
  <c r="J144" i="4" s="1"/>
  <c r="D144" i="4"/>
  <c r="C144" i="4"/>
  <c r="I143" i="4"/>
  <c r="H143" i="4"/>
  <c r="J143" i="4" s="1"/>
  <c r="D143" i="4"/>
  <c r="C143" i="4"/>
  <c r="I142" i="4"/>
  <c r="H142" i="4"/>
  <c r="D142" i="4"/>
  <c r="C142" i="4"/>
  <c r="E142" i="4" s="1"/>
  <c r="I141" i="4"/>
  <c r="H141" i="4"/>
  <c r="J141" i="4" s="1"/>
  <c r="D141" i="4"/>
  <c r="C141" i="4"/>
  <c r="E141" i="4" s="1"/>
  <c r="Q10" i="1" s="1"/>
  <c r="I138" i="4"/>
  <c r="D138" i="4"/>
  <c r="C138" i="4"/>
  <c r="I137" i="4"/>
  <c r="D137" i="4"/>
  <c r="C137" i="4"/>
  <c r="I136" i="4"/>
  <c r="D136" i="4"/>
  <c r="C136" i="4"/>
  <c r="I135" i="4"/>
  <c r="D135" i="4"/>
  <c r="C135" i="4"/>
  <c r="I134" i="4"/>
  <c r="D134" i="4"/>
  <c r="C134" i="4"/>
  <c r="I133" i="4"/>
  <c r="D133" i="4"/>
  <c r="C133" i="4"/>
  <c r="I132" i="4"/>
  <c r="D132" i="4"/>
  <c r="C132" i="4"/>
  <c r="I131" i="4"/>
  <c r="D131" i="4"/>
  <c r="C131" i="4"/>
  <c r="I130" i="4"/>
  <c r="D130" i="4"/>
  <c r="C130" i="4"/>
  <c r="I129" i="4"/>
  <c r="D129" i="4"/>
  <c r="C129" i="4"/>
  <c r="I128" i="4"/>
  <c r="D128" i="4"/>
  <c r="C128" i="4"/>
  <c r="K126" i="4"/>
  <c r="L126" i="4" s="1"/>
  <c r="D126" i="4"/>
  <c r="C126" i="4"/>
  <c r="K124" i="4"/>
  <c r="L124" i="4" s="1"/>
  <c r="D124" i="4"/>
  <c r="E124" i="4" s="1"/>
  <c r="G124" i="4" s="1"/>
  <c r="C124" i="4"/>
  <c r="K122" i="4"/>
  <c r="L122" i="4" s="1"/>
  <c r="D122" i="4"/>
  <c r="C122" i="4"/>
  <c r="E122" i="4" s="1"/>
  <c r="K120" i="4"/>
  <c r="M120" i="4" s="1"/>
  <c r="D120" i="4"/>
  <c r="C120" i="4"/>
  <c r="K118" i="4"/>
  <c r="M118" i="4" s="1"/>
  <c r="D118" i="4"/>
  <c r="C118" i="4"/>
  <c r="E118" i="4" s="1"/>
  <c r="G118" i="4" s="1"/>
  <c r="K116" i="4"/>
  <c r="M116" i="4" s="1"/>
  <c r="D116" i="4"/>
  <c r="C116" i="4"/>
  <c r="K114" i="4"/>
  <c r="M114" i="4" s="1"/>
  <c r="D114" i="4"/>
  <c r="C114" i="4"/>
  <c r="K112" i="4"/>
  <c r="L112" i="4" s="1"/>
  <c r="D112" i="4"/>
  <c r="E112" i="4" s="1"/>
  <c r="C112" i="4"/>
  <c r="K110" i="4"/>
  <c r="L110" i="4" s="1"/>
  <c r="D110" i="4"/>
  <c r="C110" i="4"/>
  <c r="K108" i="4"/>
  <c r="L108" i="4" s="1"/>
  <c r="D108" i="4"/>
  <c r="E108" i="4" s="1"/>
  <c r="G108" i="4" s="1"/>
  <c r="C108" i="4"/>
  <c r="K106" i="4"/>
  <c r="L106" i="4" s="1"/>
  <c r="D106" i="4"/>
  <c r="C106" i="4"/>
  <c r="E106" i="4" s="1"/>
  <c r="K104" i="4"/>
  <c r="M104" i="4" s="1"/>
  <c r="D104" i="4"/>
  <c r="C104" i="4"/>
  <c r="K102" i="4"/>
  <c r="M102" i="4" s="1"/>
  <c r="D102" i="4"/>
  <c r="C102" i="4"/>
  <c r="E102" i="4" s="1"/>
  <c r="G102" i="4" s="1"/>
  <c r="K100" i="4"/>
  <c r="M100" i="4" s="1"/>
  <c r="D100" i="4"/>
  <c r="C100" i="4"/>
  <c r="K98" i="4"/>
  <c r="L98" i="4" s="1"/>
  <c r="D98" i="4"/>
  <c r="C98" i="4"/>
  <c r="K96" i="4"/>
  <c r="M96" i="4" s="1"/>
  <c r="D96" i="4"/>
  <c r="C96" i="4"/>
  <c r="I93" i="4"/>
  <c r="H93" i="4"/>
  <c r="D93" i="4"/>
  <c r="C93" i="4"/>
  <c r="I92" i="4"/>
  <c r="H92" i="4"/>
  <c r="D92" i="4"/>
  <c r="C92" i="4"/>
  <c r="I91" i="4"/>
  <c r="H91" i="4"/>
  <c r="D91" i="4"/>
  <c r="C91" i="4"/>
  <c r="I90" i="4"/>
  <c r="H90" i="4"/>
  <c r="D90" i="4"/>
  <c r="C90" i="4"/>
  <c r="I89" i="4"/>
  <c r="H89" i="4"/>
  <c r="D89" i="4"/>
  <c r="C89" i="4"/>
  <c r="I88" i="4"/>
  <c r="H88" i="4"/>
  <c r="G88" i="4"/>
  <c r="E88" i="4"/>
  <c r="F88" i="4" s="1"/>
  <c r="I87" i="4"/>
  <c r="H87" i="4"/>
  <c r="D87" i="4"/>
  <c r="C87" i="4"/>
  <c r="I86" i="4"/>
  <c r="H86" i="4"/>
  <c r="D86" i="4"/>
  <c r="C86" i="4"/>
  <c r="I85" i="4"/>
  <c r="H85" i="4"/>
  <c r="D85" i="4"/>
  <c r="C85" i="4"/>
  <c r="I83" i="4"/>
  <c r="H83" i="4"/>
  <c r="D83" i="4"/>
  <c r="C83" i="4"/>
  <c r="I81" i="4"/>
  <c r="H81" i="4"/>
  <c r="D81" i="4"/>
  <c r="C81" i="4"/>
  <c r="I78" i="4"/>
  <c r="H78" i="4"/>
  <c r="D78" i="4"/>
  <c r="C78" i="4"/>
  <c r="I77" i="4"/>
  <c r="H77" i="4"/>
  <c r="D77" i="4"/>
  <c r="C77" i="4"/>
  <c r="C79" i="4" s="1"/>
  <c r="C219" i="4" s="1"/>
  <c r="I74" i="4"/>
  <c r="H74" i="4"/>
  <c r="D74" i="4"/>
  <c r="E74" i="4" s="1"/>
  <c r="C74" i="4"/>
  <c r="I73" i="4"/>
  <c r="H73" i="4"/>
  <c r="D73" i="4"/>
  <c r="E73" i="4" s="1"/>
  <c r="C73" i="4"/>
  <c r="I72" i="4"/>
  <c r="H72" i="4"/>
  <c r="D72" i="4"/>
  <c r="C72" i="4"/>
  <c r="I71" i="4"/>
  <c r="H71" i="4"/>
  <c r="D71" i="4"/>
  <c r="C71" i="4"/>
  <c r="I70" i="4"/>
  <c r="H70" i="4"/>
  <c r="D70" i="4"/>
  <c r="E70" i="4" s="1"/>
  <c r="F70" i="4" s="1"/>
  <c r="C70" i="4"/>
  <c r="I69" i="4"/>
  <c r="H69" i="4"/>
  <c r="D69" i="4"/>
  <c r="E69" i="4" s="1"/>
  <c r="C69" i="4"/>
  <c r="I68" i="4"/>
  <c r="J68" i="4" s="1"/>
  <c r="H68" i="4"/>
  <c r="D68" i="4"/>
  <c r="E68" i="4" s="1"/>
  <c r="C68" i="4"/>
  <c r="I67" i="4"/>
  <c r="H67" i="4"/>
  <c r="D67" i="4"/>
  <c r="E67" i="4" s="1"/>
  <c r="C67" i="4"/>
  <c r="I66" i="4"/>
  <c r="J66" i="4" s="1"/>
  <c r="H66" i="4"/>
  <c r="D66" i="4"/>
  <c r="C66" i="4"/>
  <c r="I65" i="4"/>
  <c r="H65" i="4"/>
  <c r="D65" i="4"/>
  <c r="C65" i="4"/>
  <c r="I64" i="4"/>
  <c r="H64" i="4"/>
  <c r="D64" i="4"/>
  <c r="C64" i="4"/>
  <c r="I63" i="4"/>
  <c r="H63" i="4"/>
  <c r="D63" i="4"/>
  <c r="C63" i="4"/>
  <c r="I62" i="4"/>
  <c r="H62" i="4"/>
  <c r="D62" i="4"/>
  <c r="C62" i="4"/>
  <c r="I61" i="4"/>
  <c r="H61" i="4"/>
  <c r="D61" i="4"/>
  <c r="C61" i="4"/>
  <c r="I60" i="4"/>
  <c r="H60" i="4"/>
  <c r="D60" i="4"/>
  <c r="C60" i="4"/>
  <c r="I59" i="4"/>
  <c r="H59" i="4"/>
  <c r="D59" i="4"/>
  <c r="C59" i="4"/>
  <c r="I58" i="4"/>
  <c r="H58" i="4"/>
  <c r="D58" i="4"/>
  <c r="C58" i="4"/>
  <c r="I57" i="4"/>
  <c r="H57" i="4"/>
  <c r="D57" i="4"/>
  <c r="C57" i="4"/>
  <c r="I56" i="4"/>
  <c r="H56" i="4"/>
  <c r="D56" i="4"/>
  <c r="C56" i="4"/>
  <c r="I55" i="4"/>
  <c r="H55" i="4"/>
  <c r="D55" i="4"/>
  <c r="C55" i="4"/>
  <c r="I54" i="4"/>
  <c r="H54" i="4"/>
  <c r="D54" i="4"/>
  <c r="C54" i="4"/>
  <c r="I53" i="4"/>
  <c r="H53" i="4"/>
  <c r="D53" i="4"/>
  <c r="C53" i="4"/>
  <c r="I52" i="4"/>
  <c r="H52" i="4"/>
  <c r="D52" i="4"/>
  <c r="C52" i="4"/>
  <c r="I51" i="4"/>
  <c r="H51" i="4"/>
  <c r="H129" i="4" s="1"/>
  <c r="D51" i="4"/>
  <c r="C51" i="4"/>
  <c r="I50" i="4"/>
  <c r="H50" i="4"/>
  <c r="D50" i="4"/>
  <c r="C50" i="4"/>
  <c r="I49" i="4"/>
  <c r="H49" i="4"/>
  <c r="D49" i="4"/>
  <c r="C49" i="4"/>
  <c r="I48" i="4"/>
  <c r="H48" i="4"/>
  <c r="D48" i="4"/>
  <c r="C48" i="4"/>
  <c r="I47" i="4"/>
  <c r="H47" i="4"/>
  <c r="D47" i="4"/>
  <c r="C47" i="4"/>
  <c r="I46" i="4"/>
  <c r="H46" i="4"/>
  <c r="D46" i="4"/>
  <c r="C46" i="4"/>
  <c r="I45" i="4"/>
  <c r="H45" i="4"/>
  <c r="D45" i="4"/>
  <c r="C45" i="4"/>
  <c r="I44" i="4"/>
  <c r="H44" i="4"/>
  <c r="H135" i="4" s="1"/>
  <c r="D44" i="4"/>
  <c r="C44" i="4"/>
  <c r="I43" i="4"/>
  <c r="H43" i="4"/>
  <c r="D43" i="4"/>
  <c r="C43" i="4"/>
  <c r="I42" i="4"/>
  <c r="H42" i="4"/>
  <c r="D42" i="4"/>
  <c r="C42" i="4"/>
  <c r="I41" i="4"/>
  <c r="H41" i="4"/>
  <c r="H128" i="4" s="1"/>
  <c r="J128" i="4" s="1"/>
  <c r="D41" i="4"/>
  <c r="C41" i="4"/>
  <c r="I40" i="4"/>
  <c r="H40" i="4"/>
  <c r="D40" i="4"/>
  <c r="C40" i="4"/>
  <c r="I39" i="4"/>
  <c r="H39" i="4"/>
  <c r="D39" i="4"/>
  <c r="C39" i="4"/>
  <c r="I38" i="4"/>
  <c r="H38" i="4"/>
  <c r="D38" i="4"/>
  <c r="C38" i="4"/>
  <c r="I37" i="4"/>
  <c r="H37" i="4"/>
  <c r="D37" i="4"/>
  <c r="C37" i="4"/>
  <c r="I36" i="4"/>
  <c r="H36" i="4"/>
  <c r="D36" i="4"/>
  <c r="C36" i="4"/>
  <c r="I35" i="4"/>
  <c r="H35" i="4"/>
  <c r="D35" i="4"/>
  <c r="C35" i="4"/>
  <c r="I34" i="4"/>
  <c r="H34" i="4"/>
  <c r="D34" i="4"/>
  <c r="C34" i="4"/>
  <c r="I33" i="4"/>
  <c r="H33" i="4"/>
  <c r="D33" i="4"/>
  <c r="C33" i="4"/>
  <c r="I32" i="4"/>
  <c r="H32" i="4"/>
  <c r="D32" i="4"/>
  <c r="C32" i="4"/>
  <c r="I31" i="4"/>
  <c r="H31" i="4"/>
  <c r="D31" i="4"/>
  <c r="C31" i="4"/>
  <c r="I30" i="4"/>
  <c r="H30" i="4"/>
  <c r="D30" i="4"/>
  <c r="C30" i="4"/>
  <c r="I29" i="4"/>
  <c r="H29" i="4"/>
  <c r="D29" i="4"/>
  <c r="C29" i="4"/>
  <c r="I28" i="4"/>
  <c r="H28" i="4"/>
  <c r="D28" i="4"/>
  <c r="C28" i="4"/>
  <c r="I27" i="4"/>
  <c r="H27" i="4"/>
  <c r="D27" i="4"/>
  <c r="C27" i="4"/>
  <c r="I26" i="4"/>
  <c r="H26" i="4"/>
  <c r="D26" i="4"/>
  <c r="C26" i="4"/>
  <c r="I25" i="4"/>
  <c r="H25" i="4"/>
  <c r="D25" i="4"/>
  <c r="C25" i="4"/>
  <c r="I24" i="4"/>
  <c r="H24" i="4"/>
  <c r="D24" i="4"/>
  <c r="C24" i="4"/>
  <c r="I23" i="4"/>
  <c r="H23" i="4"/>
  <c r="D23" i="4"/>
  <c r="C23" i="4"/>
  <c r="I22" i="4"/>
  <c r="H22" i="4"/>
  <c r="H131" i="4" s="1"/>
  <c r="D22" i="4"/>
  <c r="C22" i="4"/>
  <c r="I21" i="4"/>
  <c r="H21" i="4"/>
  <c r="D21" i="4"/>
  <c r="C21" i="4"/>
  <c r="I20" i="4"/>
  <c r="H20" i="4"/>
  <c r="D20" i="4"/>
  <c r="C20" i="4"/>
  <c r="I19" i="4"/>
  <c r="H19" i="4"/>
  <c r="D19" i="4"/>
  <c r="C19" i="4"/>
  <c r="I18" i="4"/>
  <c r="H18" i="4"/>
  <c r="D18" i="4"/>
  <c r="C18" i="4"/>
  <c r="I17" i="4"/>
  <c r="H17" i="4"/>
  <c r="D17" i="4"/>
  <c r="C17" i="4"/>
  <c r="I16" i="4"/>
  <c r="H16" i="4"/>
  <c r="D16" i="4"/>
  <c r="C16" i="4"/>
  <c r="I15" i="4"/>
  <c r="H15" i="4"/>
  <c r="D15" i="4"/>
  <c r="C15" i="4"/>
  <c r="I14" i="4"/>
  <c r="H14" i="4"/>
  <c r="H130" i="4" s="1"/>
  <c r="J130" i="4" s="1"/>
  <c r="D14" i="4"/>
  <c r="C14" i="4"/>
  <c r="I13" i="4"/>
  <c r="H13" i="4"/>
  <c r="D13" i="4"/>
  <c r="C13" i="4"/>
  <c r="I12" i="4"/>
  <c r="H12" i="4"/>
  <c r="D12" i="4"/>
  <c r="C12" i="4"/>
  <c r="I11" i="4"/>
  <c r="H11" i="4"/>
  <c r="D11" i="4"/>
  <c r="C11" i="4"/>
  <c r="I10" i="4"/>
  <c r="H10" i="4"/>
  <c r="D10" i="4"/>
  <c r="C10" i="4"/>
  <c r="I9" i="4"/>
  <c r="H9" i="4"/>
  <c r="D9" i="4"/>
  <c r="C9" i="4"/>
  <c r="I8" i="4"/>
  <c r="H8" i="4"/>
  <c r="D8" i="4"/>
  <c r="C8" i="4"/>
  <c r="I7" i="4"/>
  <c r="H7" i="4"/>
  <c r="D7" i="4"/>
  <c r="C7" i="4"/>
  <c r="I6" i="4"/>
  <c r="H6" i="4"/>
  <c r="D6" i="4"/>
  <c r="C6" i="4"/>
  <c r="D4" i="4"/>
  <c r="E4" i="4" s="1"/>
  <c r="F4" i="4" s="1"/>
  <c r="G4" i="4" s="1"/>
  <c r="H4" i="4" s="1"/>
  <c r="I4" i="4" s="1"/>
  <c r="J4" i="4" s="1"/>
  <c r="K4" i="4" s="1"/>
  <c r="L4" i="4" s="1"/>
  <c r="M4" i="4" s="1"/>
  <c r="K224" i="3"/>
  <c r="K222" i="3"/>
  <c r="D222" i="3"/>
  <c r="K221" i="3"/>
  <c r="D221" i="3"/>
  <c r="K220" i="3"/>
  <c r="D220" i="3"/>
  <c r="C220" i="3"/>
  <c r="M206" i="3"/>
  <c r="L206" i="3"/>
  <c r="G206" i="3"/>
  <c r="E206" i="3"/>
  <c r="F206" i="3" s="1"/>
  <c r="I203" i="3"/>
  <c r="D203" i="3"/>
  <c r="C203" i="3"/>
  <c r="C204" i="3" s="1"/>
  <c r="I200" i="3"/>
  <c r="D200" i="3"/>
  <c r="D201" i="3" s="1"/>
  <c r="C200" i="3"/>
  <c r="C201" i="3" s="1"/>
  <c r="I197" i="3"/>
  <c r="H197" i="3"/>
  <c r="D197" i="3"/>
  <c r="C197" i="3"/>
  <c r="I196" i="3"/>
  <c r="H196" i="3"/>
  <c r="D196" i="3"/>
  <c r="C196" i="3"/>
  <c r="I195" i="3"/>
  <c r="H195" i="3"/>
  <c r="D195" i="3"/>
  <c r="C195" i="3"/>
  <c r="I194" i="3"/>
  <c r="H194" i="3"/>
  <c r="D194" i="3"/>
  <c r="C194" i="3"/>
  <c r="I193" i="3"/>
  <c r="H193" i="3"/>
  <c r="D193" i="3"/>
  <c r="C193" i="3"/>
  <c r="I192" i="3"/>
  <c r="H192" i="3"/>
  <c r="D192" i="3"/>
  <c r="C192" i="3"/>
  <c r="I191" i="3"/>
  <c r="H191" i="3"/>
  <c r="D191" i="3"/>
  <c r="C191" i="3"/>
  <c r="I190" i="3"/>
  <c r="H190" i="3"/>
  <c r="D190" i="3"/>
  <c r="C190" i="3"/>
  <c r="I189" i="3"/>
  <c r="H189" i="3"/>
  <c r="D189" i="3"/>
  <c r="C189" i="3"/>
  <c r="I188" i="3"/>
  <c r="H188" i="3"/>
  <c r="D188" i="3"/>
  <c r="C188" i="3"/>
  <c r="I187" i="3"/>
  <c r="H187" i="3"/>
  <c r="D187" i="3"/>
  <c r="C187" i="3"/>
  <c r="I186" i="3"/>
  <c r="H186" i="3"/>
  <c r="D186" i="3"/>
  <c r="C186" i="3"/>
  <c r="I185" i="3"/>
  <c r="H185" i="3"/>
  <c r="D185" i="3"/>
  <c r="C185" i="3"/>
  <c r="I184" i="3"/>
  <c r="H184" i="3"/>
  <c r="D184" i="3"/>
  <c r="C184" i="3"/>
  <c r="I183" i="3"/>
  <c r="H183" i="3"/>
  <c r="D183" i="3"/>
  <c r="C183" i="3"/>
  <c r="I182" i="3"/>
  <c r="H182" i="3"/>
  <c r="D182" i="3"/>
  <c r="C182" i="3"/>
  <c r="I181" i="3"/>
  <c r="H181" i="3"/>
  <c r="D181" i="3"/>
  <c r="C181" i="3"/>
  <c r="I180" i="3"/>
  <c r="H180" i="3"/>
  <c r="D180" i="3"/>
  <c r="C180" i="3"/>
  <c r="E180" i="3" s="1"/>
  <c r="AK49" i="1" s="1"/>
  <c r="AL49" i="1" s="1"/>
  <c r="I179" i="3"/>
  <c r="H179" i="3"/>
  <c r="D179" i="3"/>
  <c r="C179" i="3"/>
  <c r="I178" i="3"/>
  <c r="H178" i="3"/>
  <c r="D178" i="3"/>
  <c r="C178" i="3"/>
  <c r="E178" i="3" s="1"/>
  <c r="I177" i="3"/>
  <c r="H177" i="3"/>
  <c r="D177" i="3"/>
  <c r="C177" i="3"/>
  <c r="I176" i="3"/>
  <c r="H176" i="3"/>
  <c r="D176" i="3"/>
  <c r="C176" i="3"/>
  <c r="E176" i="3" s="1"/>
  <c r="AK45" i="1" s="1"/>
  <c r="AL45" i="1" s="1"/>
  <c r="I175" i="3"/>
  <c r="H175" i="3"/>
  <c r="J175" i="3" s="1"/>
  <c r="D175" i="3"/>
  <c r="C175" i="3"/>
  <c r="I174" i="3"/>
  <c r="H174" i="3"/>
  <c r="D174" i="3"/>
  <c r="C174" i="3"/>
  <c r="E174" i="3" s="1"/>
  <c r="AK43" i="1" s="1"/>
  <c r="AL43" i="1" s="1"/>
  <c r="I173" i="3"/>
  <c r="H173" i="3"/>
  <c r="D173" i="3"/>
  <c r="C173" i="3"/>
  <c r="I172" i="3"/>
  <c r="H172" i="3"/>
  <c r="D172" i="3"/>
  <c r="C172" i="3"/>
  <c r="E172" i="3" s="1"/>
  <c r="AK41" i="1" s="1"/>
  <c r="AL41" i="1" s="1"/>
  <c r="I171" i="3"/>
  <c r="H171" i="3"/>
  <c r="D171" i="3"/>
  <c r="C171" i="3"/>
  <c r="I170" i="3"/>
  <c r="H170" i="3"/>
  <c r="D170" i="3"/>
  <c r="C170" i="3"/>
  <c r="E170" i="3" s="1"/>
  <c r="I169" i="3"/>
  <c r="H169" i="3"/>
  <c r="J169" i="3" s="1"/>
  <c r="D169" i="3"/>
  <c r="C169" i="3"/>
  <c r="I168" i="3"/>
  <c r="H168" i="3"/>
  <c r="D168" i="3"/>
  <c r="C168" i="3"/>
  <c r="E168" i="3" s="1"/>
  <c r="AK37" i="1" s="1"/>
  <c r="AL37" i="1" s="1"/>
  <c r="I167" i="3"/>
  <c r="H167" i="3"/>
  <c r="J167" i="3" s="1"/>
  <c r="D167" i="3"/>
  <c r="C167" i="3"/>
  <c r="I166" i="3"/>
  <c r="H166" i="3"/>
  <c r="D166" i="3"/>
  <c r="C166" i="3"/>
  <c r="E166" i="3" s="1"/>
  <c r="AK35" i="1" s="1"/>
  <c r="AL35" i="1" s="1"/>
  <c r="I165" i="3"/>
  <c r="H165" i="3"/>
  <c r="D165" i="3"/>
  <c r="C165" i="3"/>
  <c r="I164" i="3"/>
  <c r="H164" i="3"/>
  <c r="D164" i="3"/>
  <c r="C164" i="3"/>
  <c r="E164" i="3" s="1"/>
  <c r="AK33" i="1" s="1"/>
  <c r="AL33" i="1" s="1"/>
  <c r="I163" i="3"/>
  <c r="H163" i="3"/>
  <c r="D163" i="3"/>
  <c r="C163" i="3"/>
  <c r="I162" i="3"/>
  <c r="H162" i="3"/>
  <c r="D162" i="3"/>
  <c r="C162" i="3"/>
  <c r="E162" i="3" s="1"/>
  <c r="I161" i="3"/>
  <c r="H161" i="3"/>
  <c r="J161" i="3" s="1"/>
  <c r="D161" i="3"/>
  <c r="C161" i="3"/>
  <c r="E161" i="3" s="1"/>
  <c r="AK30" i="1" s="1"/>
  <c r="AL30" i="1" s="1"/>
  <c r="I160" i="3"/>
  <c r="H160" i="3"/>
  <c r="D160" i="3"/>
  <c r="C160" i="3"/>
  <c r="I159" i="3"/>
  <c r="H159" i="3"/>
  <c r="D159" i="3"/>
  <c r="C159" i="3"/>
  <c r="I158" i="3"/>
  <c r="H158" i="3"/>
  <c r="D158" i="3"/>
  <c r="C158" i="3"/>
  <c r="E158" i="3" s="1"/>
  <c r="AK27" i="1" s="1"/>
  <c r="AL27" i="1" s="1"/>
  <c r="I157" i="3"/>
  <c r="H157" i="3"/>
  <c r="D157" i="3"/>
  <c r="C157" i="3"/>
  <c r="I156" i="3"/>
  <c r="H156" i="3"/>
  <c r="D156" i="3"/>
  <c r="C156" i="3"/>
  <c r="E156" i="3" s="1"/>
  <c r="AK25" i="1" s="1"/>
  <c r="AL25" i="1" s="1"/>
  <c r="I155" i="3"/>
  <c r="H155" i="3"/>
  <c r="D155" i="3"/>
  <c r="C155" i="3"/>
  <c r="I154" i="3"/>
  <c r="H154" i="3"/>
  <c r="D154" i="3"/>
  <c r="C154" i="3"/>
  <c r="E154" i="3" s="1"/>
  <c r="AK23" i="1" s="1"/>
  <c r="AL23" i="1" s="1"/>
  <c r="I153" i="3"/>
  <c r="H153" i="3"/>
  <c r="D153" i="3"/>
  <c r="C153" i="3"/>
  <c r="I152" i="3"/>
  <c r="H152" i="3"/>
  <c r="D152" i="3"/>
  <c r="C152" i="3"/>
  <c r="E152" i="3" s="1"/>
  <c r="I151" i="3"/>
  <c r="H151" i="3"/>
  <c r="J151" i="3" s="1"/>
  <c r="D151" i="3"/>
  <c r="C151" i="3"/>
  <c r="I150" i="3"/>
  <c r="H150" i="3"/>
  <c r="D150" i="3"/>
  <c r="C150" i="3"/>
  <c r="E150" i="3" s="1"/>
  <c r="AK19" i="1" s="1"/>
  <c r="AL19" i="1" s="1"/>
  <c r="I149" i="3"/>
  <c r="H149" i="3"/>
  <c r="J149" i="3" s="1"/>
  <c r="D149" i="3"/>
  <c r="C149" i="3"/>
  <c r="I148" i="3"/>
  <c r="H148" i="3"/>
  <c r="D148" i="3"/>
  <c r="C148" i="3"/>
  <c r="E148" i="3" s="1"/>
  <c r="AK17" i="1" s="1"/>
  <c r="AL17" i="1" s="1"/>
  <c r="I147" i="3"/>
  <c r="H147" i="3"/>
  <c r="D147" i="3"/>
  <c r="C147" i="3"/>
  <c r="I146" i="3"/>
  <c r="H146" i="3"/>
  <c r="D146" i="3"/>
  <c r="C146" i="3"/>
  <c r="E146" i="3" s="1"/>
  <c r="AK15" i="1" s="1"/>
  <c r="AL15" i="1" s="1"/>
  <c r="I145" i="3"/>
  <c r="H145" i="3"/>
  <c r="D145" i="3"/>
  <c r="C145" i="3"/>
  <c r="I144" i="3"/>
  <c r="H144" i="3"/>
  <c r="D144" i="3"/>
  <c r="C144" i="3"/>
  <c r="E144" i="3" s="1"/>
  <c r="I143" i="3"/>
  <c r="H143" i="3"/>
  <c r="J143" i="3" s="1"/>
  <c r="D143" i="3"/>
  <c r="C143" i="3"/>
  <c r="I142" i="3"/>
  <c r="H142" i="3"/>
  <c r="D142" i="3"/>
  <c r="C142" i="3"/>
  <c r="E142" i="3" s="1"/>
  <c r="AK11" i="1" s="1"/>
  <c r="AL11" i="1" s="1"/>
  <c r="I141" i="3"/>
  <c r="H141" i="3"/>
  <c r="D141" i="3"/>
  <c r="C141" i="3"/>
  <c r="I138" i="3"/>
  <c r="D138" i="3"/>
  <c r="C138" i="3"/>
  <c r="I137" i="3"/>
  <c r="D137" i="3"/>
  <c r="C137" i="3"/>
  <c r="I136" i="3"/>
  <c r="D136" i="3"/>
  <c r="C136" i="3"/>
  <c r="I135" i="3"/>
  <c r="D135" i="3"/>
  <c r="C135" i="3"/>
  <c r="I134" i="3"/>
  <c r="D134" i="3"/>
  <c r="C134" i="3"/>
  <c r="I133" i="3"/>
  <c r="D133" i="3"/>
  <c r="C133" i="3"/>
  <c r="I132" i="3"/>
  <c r="D132" i="3"/>
  <c r="C132" i="3"/>
  <c r="I131" i="3"/>
  <c r="D131" i="3"/>
  <c r="C131" i="3"/>
  <c r="I130" i="3"/>
  <c r="D130" i="3"/>
  <c r="C130" i="3"/>
  <c r="I129" i="3"/>
  <c r="D129" i="3"/>
  <c r="C129" i="3"/>
  <c r="I128" i="3"/>
  <c r="D128" i="3"/>
  <c r="C128" i="3"/>
  <c r="K126" i="3"/>
  <c r="M126" i="3" s="1"/>
  <c r="D126" i="3"/>
  <c r="C126" i="3"/>
  <c r="E126" i="3" s="1"/>
  <c r="K124" i="3"/>
  <c r="M124" i="3" s="1"/>
  <c r="D124" i="3"/>
  <c r="C124" i="3"/>
  <c r="K122" i="3"/>
  <c r="L122" i="3" s="1"/>
  <c r="D122" i="3"/>
  <c r="C122" i="3"/>
  <c r="E122" i="3" s="1"/>
  <c r="K120" i="3"/>
  <c r="M120" i="3" s="1"/>
  <c r="D120" i="3"/>
  <c r="C120" i="3"/>
  <c r="K118" i="3"/>
  <c r="M118" i="3" s="1"/>
  <c r="D118" i="3"/>
  <c r="C118" i="3"/>
  <c r="K116" i="3"/>
  <c r="M116" i="3" s="1"/>
  <c r="D116" i="3"/>
  <c r="C116" i="3"/>
  <c r="K114" i="3"/>
  <c r="L114" i="3" s="1"/>
  <c r="D114" i="3"/>
  <c r="C114" i="3"/>
  <c r="K112" i="3"/>
  <c r="M112" i="3" s="1"/>
  <c r="D112" i="3"/>
  <c r="C112" i="3"/>
  <c r="K110" i="3"/>
  <c r="M110" i="3" s="1"/>
  <c r="D110" i="3"/>
  <c r="C110" i="3"/>
  <c r="E110" i="3" s="1"/>
  <c r="K108" i="3"/>
  <c r="M108" i="3" s="1"/>
  <c r="D108" i="3"/>
  <c r="C108" i="3"/>
  <c r="K106" i="3"/>
  <c r="M106" i="3" s="1"/>
  <c r="D106" i="3"/>
  <c r="C106" i="3"/>
  <c r="K104" i="3"/>
  <c r="L104" i="3" s="1"/>
  <c r="D104" i="3"/>
  <c r="C104" i="3"/>
  <c r="K102" i="3"/>
  <c r="M102" i="3" s="1"/>
  <c r="D102" i="3"/>
  <c r="C102" i="3"/>
  <c r="E102" i="3" s="1"/>
  <c r="K100" i="3"/>
  <c r="D100" i="3"/>
  <c r="C100" i="3"/>
  <c r="K98" i="3"/>
  <c r="D98" i="3"/>
  <c r="C98" i="3"/>
  <c r="E98" i="3" s="1"/>
  <c r="K96" i="3"/>
  <c r="D96" i="3"/>
  <c r="C96" i="3"/>
  <c r="I93" i="3"/>
  <c r="H93" i="3"/>
  <c r="D93" i="3"/>
  <c r="C93" i="3"/>
  <c r="I92" i="3"/>
  <c r="H92" i="3"/>
  <c r="D92" i="3"/>
  <c r="C92" i="3"/>
  <c r="I91" i="3"/>
  <c r="H91" i="3"/>
  <c r="D91" i="3"/>
  <c r="C91" i="3"/>
  <c r="I90" i="3"/>
  <c r="H90" i="3"/>
  <c r="D90" i="3"/>
  <c r="C90" i="3"/>
  <c r="I89" i="3"/>
  <c r="H89" i="3"/>
  <c r="D89" i="3"/>
  <c r="C89" i="3"/>
  <c r="I88" i="3"/>
  <c r="H88" i="3"/>
  <c r="E88" i="3"/>
  <c r="F88" i="3" s="1"/>
  <c r="I87" i="3"/>
  <c r="H87" i="3"/>
  <c r="J87" i="3" s="1"/>
  <c r="D87" i="3"/>
  <c r="C87" i="3"/>
  <c r="I86" i="3"/>
  <c r="H86" i="3"/>
  <c r="D86" i="3"/>
  <c r="C86" i="3"/>
  <c r="I85" i="3"/>
  <c r="H85" i="3"/>
  <c r="D85" i="3"/>
  <c r="C85" i="3"/>
  <c r="C94" i="3" s="1"/>
  <c r="D218" i="3" s="1"/>
  <c r="I83" i="3"/>
  <c r="H83" i="3"/>
  <c r="D83" i="3"/>
  <c r="C83" i="3"/>
  <c r="I81" i="3"/>
  <c r="H81" i="3"/>
  <c r="D81" i="3"/>
  <c r="C81" i="3"/>
  <c r="E81" i="3" s="1"/>
  <c r="I78" i="3"/>
  <c r="H78" i="3"/>
  <c r="D78" i="3"/>
  <c r="C78" i="3"/>
  <c r="I77" i="3"/>
  <c r="H77" i="3"/>
  <c r="D77" i="3"/>
  <c r="D79" i="3" s="1"/>
  <c r="C219" i="3" s="1"/>
  <c r="C77" i="3"/>
  <c r="C79" i="3" s="1"/>
  <c r="D219" i="3" s="1"/>
  <c r="I74" i="3"/>
  <c r="H74" i="3"/>
  <c r="D74" i="3"/>
  <c r="C74" i="3"/>
  <c r="I73" i="3"/>
  <c r="H73" i="3"/>
  <c r="D73" i="3"/>
  <c r="C73" i="3"/>
  <c r="I72" i="3"/>
  <c r="H72" i="3"/>
  <c r="D72" i="3"/>
  <c r="C72" i="3"/>
  <c r="I71" i="3"/>
  <c r="H71" i="3"/>
  <c r="D71" i="3"/>
  <c r="C71" i="3"/>
  <c r="E71" i="3" s="1"/>
  <c r="I70" i="3"/>
  <c r="H70" i="3"/>
  <c r="D70" i="3"/>
  <c r="C70" i="3"/>
  <c r="I69" i="3"/>
  <c r="H69" i="3"/>
  <c r="D69" i="3"/>
  <c r="C69" i="3"/>
  <c r="E69" i="3" s="1"/>
  <c r="I68" i="3"/>
  <c r="H68" i="3"/>
  <c r="D68" i="3"/>
  <c r="C68" i="3"/>
  <c r="I67" i="3"/>
  <c r="H67" i="3"/>
  <c r="D67" i="3"/>
  <c r="C67" i="3"/>
  <c r="E67" i="3" s="1"/>
  <c r="F67" i="3" s="1"/>
  <c r="I66" i="3"/>
  <c r="H66" i="3"/>
  <c r="J66" i="3" s="1"/>
  <c r="D66" i="3"/>
  <c r="C66" i="3"/>
  <c r="I65" i="3"/>
  <c r="H65" i="3"/>
  <c r="D65" i="3"/>
  <c r="C65" i="3"/>
  <c r="E65" i="3" s="1"/>
  <c r="F65" i="3" s="1"/>
  <c r="I64" i="3"/>
  <c r="H64" i="3"/>
  <c r="J64" i="3" s="1"/>
  <c r="D64" i="3"/>
  <c r="C64" i="3"/>
  <c r="I63" i="3"/>
  <c r="H63" i="3"/>
  <c r="D63" i="3"/>
  <c r="C63" i="3"/>
  <c r="E63" i="3" s="1"/>
  <c r="I62" i="3"/>
  <c r="H62" i="3"/>
  <c r="J62" i="3" s="1"/>
  <c r="D62" i="3"/>
  <c r="C62" i="3"/>
  <c r="I61" i="3"/>
  <c r="H61" i="3"/>
  <c r="D61" i="3"/>
  <c r="C61" i="3"/>
  <c r="E61" i="3" s="1"/>
  <c r="I60" i="3"/>
  <c r="H60" i="3"/>
  <c r="J60" i="3" s="1"/>
  <c r="D60" i="3"/>
  <c r="C60" i="3"/>
  <c r="I59" i="3"/>
  <c r="H59" i="3"/>
  <c r="D59" i="3"/>
  <c r="C59" i="3"/>
  <c r="E59" i="3" s="1"/>
  <c r="F59" i="3" s="1"/>
  <c r="I58" i="3"/>
  <c r="H58" i="3"/>
  <c r="D58" i="3"/>
  <c r="C58" i="3"/>
  <c r="I57" i="3"/>
  <c r="H57" i="3"/>
  <c r="D57" i="3"/>
  <c r="C57" i="3"/>
  <c r="E57" i="3" s="1"/>
  <c r="F57" i="3" s="1"/>
  <c r="I56" i="3"/>
  <c r="H56" i="3"/>
  <c r="D56" i="3"/>
  <c r="C56" i="3"/>
  <c r="I55" i="3"/>
  <c r="H55" i="3"/>
  <c r="D55" i="3"/>
  <c r="C55" i="3"/>
  <c r="E55" i="3" s="1"/>
  <c r="I54" i="3"/>
  <c r="H54" i="3"/>
  <c r="D54" i="3"/>
  <c r="C54" i="3"/>
  <c r="I53" i="3"/>
  <c r="H53" i="3"/>
  <c r="D53" i="3"/>
  <c r="C53" i="3"/>
  <c r="E53" i="3" s="1"/>
  <c r="I52" i="3"/>
  <c r="H52" i="3"/>
  <c r="D52" i="3"/>
  <c r="C52" i="3"/>
  <c r="I51" i="3"/>
  <c r="H51" i="3"/>
  <c r="H129" i="3" s="1"/>
  <c r="J129" i="3" s="1"/>
  <c r="D51" i="3"/>
  <c r="C51" i="3"/>
  <c r="E51" i="3" s="1"/>
  <c r="F51" i="3" s="1"/>
  <c r="I50" i="3"/>
  <c r="H50" i="3"/>
  <c r="D50" i="3"/>
  <c r="C50" i="3"/>
  <c r="I49" i="3"/>
  <c r="H49" i="3"/>
  <c r="D49" i="3"/>
  <c r="C49" i="3"/>
  <c r="E49" i="3" s="1"/>
  <c r="F49" i="3" s="1"/>
  <c r="I48" i="3"/>
  <c r="H48" i="3"/>
  <c r="J48" i="3" s="1"/>
  <c r="D48" i="3"/>
  <c r="C48" i="3"/>
  <c r="I47" i="3"/>
  <c r="H47" i="3"/>
  <c r="D47" i="3"/>
  <c r="C47" i="3"/>
  <c r="E47" i="3" s="1"/>
  <c r="I46" i="3"/>
  <c r="H46" i="3"/>
  <c r="J46" i="3" s="1"/>
  <c r="D46" i="3"/>
  <c r="C46" i="3"/>
  <c r="I45" i="3"/>
  <c r="H45" i="3"/>
  <c r="D45" i="3"/>
  <c r="C45" i="3"/>
  <c r="E45" i="3" s="1"/>
  <c r="I44" i="3"/>
  <c r="H44" i="3"/>
  <c r="H135" i="3" s="1"/>
  <c r="J135" i="3" s="1"/>
  <c r="D44" i="3"/>
  <c r="C44" i="3"/>
  <c r="I43" i="3"/>
  <c r="H43" i="3"/>
  <c r="D43" i="3"/>
  <c r="C43" i="3"/>
  <c r="E43" i="3" s="1"/>
  <c r="F43" i="3" s="1"/>
  <c r="I42" i="3"/>
  <c r="H42" i="3"/>
  <c r="D42" i="3"/>
  <c r="C42" i="3"/>
  <c r="I41" i="3"/>
  <c r="H41" i="3"/>
  <c r="H128" i="3" s="1"/>
  <c r="D41" i="3"/>
  <c r="C41" i="3"/>
  <c r="E41" i="3" s="1"/>
  <c r="F41" i="3" s="1"/>
  <c r="I40" i="3"/>
  <c r="H40" i="3"/>
  <c r="D40" i="3"/>
  <c r="C40" i="3"/>
  <c r="I39" i="3"/>
  <c r="H39" i="3"/>
  <c r="D39" i="3"/>
  <c r="C39" i="3"/>
  <c r="E39" i="3" s="1"/>
  <c r="I38" i="3"/>
  <c r="H38" i="3"/>
  <c r="D38" i="3"/>
  <c r="C38" i="3"/>
  <c r="I37" i="3"/>
  <c r="H37" i="3"/>
  <c r="D37" i="3"/>
  <c r="C37" i="3"/>
  <c r="E37" i="3" s="1"/>
  <c r="I36" i="3"/>
  <c r="H36" i="3"/>
  <c r="D36" i="3"/>
  <c r="C36" i="3"/>
  <c r="I35" i="3"/>
  <c r="H35" i="3"/>
  <c r="D35" i="3"/>
  <c r="C35" i="3"/>
  <c r="E35" i="3" s="1"/>
  <c r="F35" i="3" s="1"/>
  <c r="I34" i="3"/>
  <c r="H34" i="3"/>
  <c r="D34" i="3"/>
  <c r="C34" i="3"/>
  <c r="I33" i="3"/>
  <c r="H33" i="3"/>
  <c r="D33" i="3"/>
  <c r="C33" i="3"/>
  <c r="E33" i="3" s="1"/>
  <c r="F33" i="3" s="1"/>
  <c r="I32" i="3"/>
  <c r="H32" i="3"/>
  <c r="D32" i="3"/>
  <c r="C32" i="3"/>
  <c r="I31" i="3"/>
  <c r="H31" i="3"/>
  <c r="D31" i="3"/>
  <c r="C31" i="3"/>
  <c r="E31" i="3" s="1"/>
  <c r="I30" i="3"/>
  <c r="H30" i="3"/>
  <c r="J30" i="3" s="1"/>
  <c r="D30" i="3"/>
  <c r="C30" i="3"/>
  <c r="I29" i="3"/>
  <c r="H29" i="3"/>
  <c r="D29" i="3"/>
  <c r="C29" i="3"/>
  <c r="E29" i="3" s="1"/>
  <c r="I28" i="3"/>
  <c r="H28" i="3"/>
  <c r="D28" i="3"/>
  <c r="C28" i="3"/>
  <c r="I27" i="3"/>
  <c r="H27" i="3"/>
  <c r="D27" i="3"/>
  <c r="C27" i="3"/>
  <c r="I26" i="3"/>
  <c r="H26" i="3"/>
  <c r="J26" i="3" s="1"/>
  <c r="D26" i="3"/>
  <c r="C26" i="3"/>
  <c r="I25" i="3"/>
  <c r="H25" i="3"/>
  <c r="D25" i="3"/>
  <c r="C25" i="3"/>
  <c r="E25" i="3" s="1"/>
  <c r="I24" i="3"/>
  <c r="H24" i="3"/>
  <c r="D24" i="3"/>
  <c r="C24" i="3"/>
  <c r="I23" i="3"/>
  <c r="H23" i="3"/>
  <c r="D23" i="3"/>
  <c r="C23" i="3"/>
  <c r="E23" i="3" s="1"/>
  <c r="F23" i="3" s="1"/>
  <c r="I22" i="3"/>
  <c r="H22" i="3"/>
  <c r="D22" i="3"/>
  <c r="C22" i="3"/>
  <c r="I21" i="3"/>
  <c r="H21" i="3"/>
  <c r="D21" i="3"/>
  <c r="C21" i="3"/>
  <c r="E21" i="3" s="1"/>
  <c r="I20" i="3"/>
  <c r="H20" i="3"/>
  <c r="D20" i="3"/>
  <c r="C20" i="3"/>
  <c r="E20" i="3" s="1"/>
  <c r="I19" i="3"/>
  <c r="H19" i="3"/>
  <c r="D19" i="3"/>
  <c r="C19" i="3"/>
  <c r="I18" i="3"/>
  <c r="H18" i="3"/>
  <c r="J18" i="3" s="1"/>
  <c r="D18" i="3"/>
  <c r="C18" i="3"/>
  <c r="I17" i="3"/>
  <c r="H17" i="3"/>
  <c r="D17" i="3"/>
  <c r="C17" i="3"/>
  <c r="E17" i="3" s="1"/>
  <c r="I16" i="3"/>
  <c r="H16" i="3"/>
  <c r="D16" i="3"/>
  <c r="C16" i="3"/>
  <c r="I15" i="3"/>
  <c r="H15" i="3"/>
  <c r="D15" i="3"/>
  <c r="C15" i="3"/>
  <c r="I14" i="3"/>
  <c r="H14" i="3"/>
  <c r="D14" i="3"/>
  <c r="C14" i="3"/>
  <c r="I13" i="3"/>
  <c r="H13" i="3"/>
  <c r="D13" i="3"/>
  <c r="C13" i="3"/>
  <c r="E13" i="3" s="1"/>
  <c r="I12" i="3"/>
  <c r="H12" i="3"/>
  <c r="D12" i="3"/>
  <c r="C12" i="3"/>
  <c r="I11" i="3"/>
  <c r="H11" i="3"/>
  <c r="D11" i="3"/>
  <c r="C11" i="3"/>
  <c r="I10" i="3"/>
  <c r="H10" i="3"/>
  <c r="D10" i="3"/>
  <c r="C10" i="3"/>
  <c r="I9" i="3"/>
  <c r="H9" i="3"/>
  <c r="D9" i="3"/>
  <c r="C9" i="3"/>
  <c r="E9" i="3" s="1"/>
  <c r="F9" i="3" s="1"/>
  <c r="I8" i="3"/>
  <c r="H8" i="3"/>
  <c r="D8" i="3"/>
  <c r="C8" i="3"/>
  <c r="I7" i="3"/>
  <c r="H7" i="3"/>
  <c r="D7" i="3"/>
  <c r="C7" i="3"/>
  <c r="E7" i="3" s="1"/>
  <c r="I6" i="3"/>
  <c r="H6" i="3"/>
  <c r="D6" i="3"/>
  <c r="C6" i="3"/>
  <c r="C75" i="3" s="1"/>
  <c r="G4" i="3"/>
  <c r="H4" i="3" s="1"/>
  <c r="I4" i="3" s="1"/>
  <c r="J4" i="3" s="1"/>
  <c r="K4" i="3" s="1"/>
  <c r="L4" i="3" s="1"/>
  <c r="M4" i="3" s="1"/>
  <c r="E161" i="4" l="1"/>
  <c r="Q30" i="1" s="1"/>
  <c r="E162" i="4"/>
  <c r="Q31" i="1" s="1"/>
  <c r="E164" i="4"/>
  <c r="Q33" i="1" s="1"/>
  <c r="E166" i="4"/>
  <c r="Q35" i="1" s="1"/>
  <c r="E168" i="4"/>
  <c r="E170" i="4"/>
  <c r="E172" i="4"/>
  <c r="E174" i="4"/>
  <c r="Q43" i="1" s="1"/>
  <c r="E176" i="4"/>
  <c r="E178" i="4"/>
  <c r="Q47" i="1" s="1"/>
  <c r="E182" i="4"/>
  <c r="J131" i="4"/>
  <c r="J135" i="4"/>
  <c r="J129" i="4"/>
  <c r="J55" i="4"/>
  <c r="E66" i="4"/>
  <c r="F66" i="4" s="1"/>
  <c r="E6" i="4"/>
  <c r="J6" i="4"/>
  <c r="E7" i="4"/>
  <c r="J7" i="4"/>
  <c r="E8" i="4"/>
  <c r="E9" i="4"/>
  <c r="E10" i="4"/>
  <c r="E13" i="4"/>
  <c r="J13" i="4"/>
  <c r="E14" i="4"/>
  <c r="E16" i="4"/>
  <c r="E17" i="4"/>
  <c r="E18" i="4"/>
  <c r="E21" i="4"/>
  <c r="E22" i="4"/>
  <c r="E24" i="4"/>
  <c r="F24" i="4" s="1"/>
  <c r="E25" i="4"/>
  <c r="F25" i="4" s="1"/>
  <c r="E26" i="4"/>
  <c r="E28" i="4"/>
  <c r="E29" i="4"/>
  <c r="E30" i="4"/>
  <c r="E32" i="4"/>
  <c r="F32" i="4" s="1"/>
  <c r="E33" i="4"/>
  <c r="E34" i="4"/>
  <c r="E35" i="4"/>
  <c r="G35" i="4" s="1"/>
  <c r="E36" i="4"/>
  <c r="E37" i="4"/>
  <c r="G37" i="4" s="1"/>
  <c r="E38" i="4"/>
  <c r="F38" i="4" s="1"/>
  <c r="E41" i="4"/>
  <c r="E42" i="4"/>
  <c r="E43" i="4"/>
  <c r="E44" i="4"/>
  <c r="E45" i="4"/>
  <c r="F45" i="4" s="1"/>
  <c r="E46" i="4"/>
  <c r="F46" i="4" s="1"/>
  <c r="E49" i="4"/>
  <c r="G49" i="4" s="1"/>
  <c r="E50" i="4"/>
  <c r="E51" i="4"/>
  <c r="E52" i="4"/>
  <c r="E53" i="4"/>
  <c r="G53" i="4" s="1"/>
  <c r="E54" i="4"/>
  <c r="F54" i="4" s="1"/>
  <c r="E57" i="4"/>
  <c r="E58" i="4"/>
  <c r="F58" i="4" s="1"/>
  <c r="E59" i="4"/>
  <c r="G59" i="4" s="1"/>
  <c r="E60" i="4"/>
  <c r="E61" i="4"/>
  <c r="F61" i="4" s="1"/>
  <c r="E62" i="4"/>
  <c r="F62" i="4" s="1"/>
  <c r="E65" i="4"/>
  <c r="F65" i="4" s="1"/>
  <c r="J73" i="3"/>
  <c r="J74" i="3"/>
  <c r="J86" i="3"/>
  <c r="E91" i="3"/>
  <c r="E92" i="3"/>
  <c r="G92" i="3" s="1"/>
  <c r="E96" i="3"/>
  <c r="E100" i="3"/>
  <c r="E104" i="3"/>
  <c r="G104" i="3" s="1"/>
  <c r="E108" i="3"/>
  <c r="E112" i="3"/>
  <c r="E116" i="3"/>
  <c r="E120" i="3"/>
  <c r="E124" i="3"/>
  <c r="E128" i="3"/>
  <c r="AK7" i="1" s="1"/>
  <c r="AL7" i="1" s="1"/>
  <c r="E130" i="3"/>
  <c r="E132" i="3"/>
  <c r="J184" i="3"/>
  <c r="J187" i="3"/>
  <c r="J189" i="3"/>
  <c r="J196" i="3"/>
  <c r="E197" i="3"/>
  <c r="J19" i="4"/>
  <c r="J28" i="4"/>
  <c r="J36" i="4"/>
  <c r="J42" i="4"/>
  <c r="J43" i="4"/>
  <c r="G144" i="3"/>
  <c r="AK13" i="1"/>
  <c r="AL13" i="1" s="1"/>
  <c r="G152" i="3"/>
  <c r="AK21" i="1"/>
  <c r="AL21" i="1" s="1"/>
  <c r="F162" i="3"/>
  <c r="AK31" i="1"/>
  <c r="AL31" i="1" s="1"/>
  <c r="G170" i="3"/>
  <c r="AK39" i="1"/>
  <c r="AL39" i="1" s="1"/>
  <c r="G178" i="3"/>
  <c r="AK47" i="1"/>
  <c r="AL47" i="1" s="1"/>
  <c r="E73" i="3"/>
  <c r="F73" i="3" s="1"/>
  <c r="J88" i="3"/>
  <c r="K88" i="3" s="1"/>
  <c r="J90" i="3"/>
  <c r="J91" i="3"/>
  <c r="J92" i="3"/>
  <c r="J93" i="3"/>
  <c r="E182" i="3"/>
  <c r="AK51" i="1" s="1"/>
  <c r="AL51" i="1" s="1"/>
  <c r="J183" i="3"/>
  <c r="E184" i="3"/>
  <c r="AK53" i="1" s="1"/>
  <c r="AL53" i="1" s="1"/>
  <c r="J185" i="3"/>
  <c r="E186" i="3"/>
  <c r="E188" i="3"/>
  <c r="AK57" i="1" s="1"/>
  <c r="AL57" i="1" s="1"/>
  <c r="E190" i="3"/>
  <c r="AK59" i="1" s="1"/>
  <c r="AL59" i="1" s="1"/>
  <c r="E192" i="3"/>
  <c r="AK61" i="1" s="1"/>
  <c r="AL61" i="1" s="1"/>
  <c r="E194" i="3"/>
  <c r="E196" i="3"/>
  <c r="AK65" i="1" s="1"/>
  <c r="AL65" i="1" s="1"/>
  <c r="J197" i="3"/>
  <c r="J22" i="4"/>
  <c r="J23" i="4"/>
  <c r="J38" i="4"/>
  <c r="J47" i="4"/>
  <c r="J51" i="4"/>
  <c r="J60" i="4"/>
  <c r="J71" i="4"/>
  <c r="J91" i="4"/>
  <c r="J6" i="3"/>
  <c r="J9" i="3"/>
  <c r="J11" i="3"/>
  <c r="J13" i="3"/>
  <c r="J16" i="3"/>
  <c r="J21" i="3"/>
  <c r="J29" i="3"/>
  <c r="J35" i="3"/>
  <c r="J37" i="3"/>
  <c r="J39" i="3"/>
  <c r="J40" i="3"/>
  <c r="J43" i="3"/>
  <c r="J53" i="3"/>
  <c r="J55" i="3"/>
  <c r="J59" i="3"/>
  <c r="J85" i="3"/>
  <c r="E134" i="3"/>
  <c r="E136" i="3"/>
  <c r="G136" i="3" s="1"/>
  <c r="E138" i="3"/>
  <c r="J142" i="3"/>
  <c r="J146" i="3"/>
  <c r="J147" i="3"/>
  <c r="J156" i="3"/>
  <c r="J158" i="3"/>
  <c r="J164" i="3"/>
  <c r="J172" i="3"/>
  <c r="E173" i="3"/>
  <c r="J176" i="3"/>
  <c r="L118" i="3"/>
  <c r="J85" i="4"/>
  <c r="J90" i="4"/>
  <c r="L96" i="4"/>
  <c r="E104" i="4"/>
  <c r="G104" i="4" s="1"/>
  <c r="E116" i="4"/>
  <c r="G116" i="4" s="1"/>
  <c r="E120" i="4"/>
  <c r="G120" i="4" s="1"/>
  <c r="E114" i="3"/>
  <c r="E181" i="3"/>
  <c r="E185" i="3"/>
  <c r="E187" i="3"/>
  <c r="AK56" i="1" s="1"/>
  <c r="AL56" i="1" s="1"/>
  <c r="E191" i="3"/>
  <c r="AK60" i="1" s="1"/>
  <c r="AL60" i="1" s="1"/>
  <c r="E180" i="4"/>
  <c r="E184" i="4"/>
  <c r="E186" i="4"/>
  <c r="E188" i="4"/>
  <c r="Q57" i="1" s="1"/>
  <c r="E190" i="4"/>
  <c r="E192" i="4"/>
  <c r="Q61" i="1" s="1"/>
  <c r="E194" i="4"/>
  <c r="E90" i="3"/>
  <c r="F90" i="3" s="1"/>
  <c r="E93" i="3"/>
  <c r="F93" i="3" s="1"/>
  <c r="L106" i="3"/>
  <c r="L108" i="3"/>
  <c r="L110" i="3"/>
  <c r="L112" i="3"/>
  <c r="M114" i="3"/>
  <c r="L116" i="3"/>
  <c r="E118" i="3"/>
  <c r="L120" i="3"/>
  <c r="M122" i="3"/>
  <c r="L124" i="3"/>
  <c r="L126" i="3"/>
  <c r="E15" i="4"/>
  <c r="G15" i="4" s="1"/>
  <c r="E19" i="4"/>
  <c r="E27" i="4"/>
  <c r="E96" i="4"/>
  <c r="G96" i="4" s="1"/>
  <c r="E98" i="4"/>
  <c r="E100" i="4"/>
  <c r="G100" i="4" s="1"/>
  <c r="L100" i="4"/>
  <c r="L102" i="4"/>
  <c r="L104" i="4"/>
  <c r="E110" i="4"/>
  <c r="E114" i="4"/>
  <c r="L114" i="4"/>
  <c r="L116" i="4"/>
  <c r="L118" i="4"/>
  <c r="L120" i="4"/>
  <c r="E126" i="4"/>
  <c r="E11" i="3"/>
  <c r="E14" i="3"/>
  <c r="E15" i="3"/>
  <c r="E16" i="3"/>
  <c r="E38" i="3"/>
  <c r="E40" i="3"/>
  <c r="F40" i="3" s="1"/>
  <c r="E44" i="3"/>
  <c r="F44" i="3" s="1"/>
  <c r="E60" i="3"/>
  <c r="F60" i="3" s="1"/>
  <c r="E68" i="3"/>
  <c r="F68" i="3" s="1"/>
  <c r="E74" i="3"/>
  <c r="L102" i="3"/>
  <c r="E143" i="3"/>
  <c r="E147" i="3"/>
  <c r="AK16" i="1" s="1"/>
  <c r="AL16" i="1" s="1"/>
  <c r="E151" i="3"/>
  <c r="E153" i="3"/>
  <c r="E160" i="3"/>
  <c r="AK29" i="1" s="1"/>
  <c r="AL29" i="1" s="1"/>
  <c r="E196" i="4"/>
  <c r="Q65" i="1" s="1"/>
  <c r="F104" i="3"/>
  <c r="E8" i="3"/>
  <c r="J10" i="3"/>
  <c r="J14" i="3"/>
  <c r="E19" i="3"/>
  <c r="J33" i="3"/>
  <c r="E34" i="3"/>
  <c r="J34" i="3"/>
  <c r="E50" i="3"/>
  <c r="F50" i="3" s="1"/>
  <c r="E54" i="3"/>
  <c r="E56" i="3"/>
  <c r="F56" i="3" s="1"/>
  <c r="J56" i="3"/>
  <c r="E66" i="3"/>
  <c r="F66" i="3" s="1"/>
  <c r="J69" i="3"/>
  <c r="E70" i="3"/>
  <c r="J71" i="3"/>
  <c r="E72" i="3"/>
  <c r="F72" i="3" s="1"/>
  <c r="J72" i="3"/>
  <c r="E77" i="3"/>
  <c r="F77" i="3" s="1"/>
  <c r="J77" i="3"/>
  <c r="E78" i="3"/>
  <c r="F78" i="3" s="1"/>
  <c r="J78" i="3"/>
  <c r="J81" i="3"/>
  <c r="E83" i="3"/>
  <c r="E86" i="3"/>
  <c r="G86" i="3" s="1"/>
  <c r="E87" i="3"/>
  <c r="F87" i="3" s="1"/>
  <c r="M104" i="3"/>
  <c r="F142" i="3"/>
  <c r="G142" i="3"/>
  <c r="F158" i="3"/>
  <c r="G158" i="3"/>
  <c r="F166" i="3"/>
  <c r="G166" i="3"/>
  <c r="F174" i="3"/>
  <c r="G174" i="3"/>
  <c r="F182" i="3"/>
  <c r="G182" i="3"/>
  <c r="F190" i="3"/>
  <c r="G190" i="3"/>
  <c r="G98" i="4"/>
  <c r="F98" i="4"/>
  <c r="F100" i="4"/>
  <c r="G114" i="4"/>
  <c r="F114" i="4"/>
  <c r="G9" i="3"/>
  <c r="K9" i="3"/>
  <c r="E12" i="3"/>
  <c r="J20" i="3"/>
  <c r="E24" i="3"/>
  <c r="E27" i="3"/>
  <c r="J27" i="3"/>
  <c r="E28" i="3"/>
  <c r="E30" i="3"/>
  <c r="J31" i="3"/>
  <c r="E32" i="3"/>
  <c r="J32" i="3"/>
  <c r="E36" i="3"/>
  <c r="F36" i="3" s="1"/>
  <c r="J41" i="3"/>
  <c r="E42" i="3"/>
  <c r="J42" i="3"/>
  <c r="E46" i="3"/>
  <c r="E48" i="3"/>
  <c r="F48" i="3" s="1"/>
  <c r="J50" i="3"/>
  <c r="E52" i="3"/>
  <c r="F52" i="3" s="1"/>
  <c r="J57" i="3"/>
  <c r="E58" i="3"/>
  <c r="F58" i="3" s="1"/>
  <c r="J58" i="3"/>
  <c r="E62" i="3"/>
  <c r="E64" i="3"/>
  <c r="F64" i="3" s="1"/>
  <c r="K90" i="3"/>
  <c r="M90" i="3" s="1"/>
  <c r="F92" i="3"/>
  <c r="G106" i="4"/>
  <c r="F106" i="4"/>
  <c r="G122" i="4"/>
  <c r="F122" i="4"/>
  <c r="E106" i="3"/>
  <c r="E131" i="3"/>
  <c r="F131" i="3" s="1"/>
  <c r="E133" i="3"/>
  <c r="F133" i="3" s="1"/>
  <c r="J144" i="3"/>
  <c r="E145" i="3"/>
  <c r="J148" i="3"/>
  <c r="K148" i="3" s="1"/>
  <c r="T17" i="1" s="1"/>
  <c r="E149" i="3"/>
  <c r="AK18" i="1" s="1"/>
  <c r="AL18" i="1" s="1"/>
  <c r="J154" i="3"/>
  <c r="E155" i="3"/>
  <c r="AK24" i="1" s="1"/>
  <c r="AL24" i="1" s="1"/>
  <c r="J155" i="3"/>
  <c r="J160" i="3"/>
  <c r="E165" i="3"/>
  <c r="J168" i="3"/>
  <c r="E169" i="3"/>
  <c r="J170" i="3"/>
  <c r="E171" i="3"/>
  <c r="AK40" i="1" s="1"/>
  <c r="AL40" i="1" s="1"/>
  <c r="J171" i="3"/>
  <c r="J173" i="3"/>
  <c r="E175" i="3"/>
  <c r="AK44" i="1" s="1"/>
  <c r="AL44" i="1" s="1"/>
  <c r="E200" i="3"/>
  <c r="G200" i="3" s="1"/>
  <c r="G201" i="3" s="1"/>
  <c r="G7" i="4"/>
  <c r="M98" i="4"/>
  <c r="M106" i="4"/>
  <c r="M108" i="4"/>
  <c r="M110" i="4"/>
  <c r="M112" i="4"/>
  <c r="M122" i="4"/>
  <c r="M124" i="4"/>
  <c r="M126" i="4"/>
  <c r="F142" i="4"/>
  <c r="Q11" i="1"/>
  <c r="F150" i="4"/>
  <c r="Q19" i="1"/>
  <c r="F158" i="4"/>
  <c r="Q27" i="1"/>
  <c r="F168" i="4"/>
  <c r="Q37" i="1"/>
  <c r="G170" i="4"/>
  <c r="Q39" i="1"/>
  <c r="F184" i="4"/>
  <c r="Q53" i="1"/>
  <c r="G186" i="4"/>
  <c r="E135" i="3"/>
  <c r="E137" i="3"/>
  <c r="F137" i="3" s="1"/>
  <c r="J141" i="3"/>
  <c r="E157" i="3"/>
  <c r="J157" i="3"/>
  <c r="J162" i="3"/>
  <c r="E163" i="3"/>
  <c r="AK32" i="1" s="1"/>
  <c r="AL32" i="1" s="1"/>
  <c r="J163" i="3"/>
  <c r="J165" i="3"/>
  <c r="E167" i="3"/>
  <c r="AK36" i="1" s="1"/>
  <c r="AL36" i="1" s="1"/>
  <c r="E177" i="3"/>
  <c r="J177" i="3"/>
  <c r="J178" i="3"/>
  <c r="E179" i="3"/>
  <c r="AK48" i="1" s="1"/>
  <c r="AL48" i="1" s="1"/>
  <c r="J179" i="3"/>
  <c r="J181" i="3"/>
  <c r="E183" i="3"/>
  <c r="AK52" i="1" s="1"/>
  <c r="AL52" i="1" s="1"/>
  <c r="E189" i="3"/>
  <c r="J191" i="3"/>
  <c r="J192" i="3"/>
  <c r="E193" i="3"/>
  <c r="J193" i="3"/>
  <c r="J194" i="3"/>
  <c r="E195" i="3"/>
  <c r="AK64" i="1" s="1"/>
  <c r="AL64" i="1" s="1"/>
  <c r="J195" i="3"/>
  <c r="E11" i="4"/>
  <c r="J11" i="4"/>
  <c r="J14" i="4"/>
  <c r="J15" i="4"/>
  <c r="J21" i="4"/>
  <c r="E23" i="4"/>
  <c r="G24" i="4"/>
  <c r="J26" i="4"/>
  <c r="J27" i="4"/>
  <c r="J29" i="4"/>
  <c r="E31" i="4"/>
  <c r="J31" i="4"/>
  <c r="G32" i="4"/>
  <c r="J33" i="4"/>
  <c r="J35" i="4"/>
  <c r="J39" i="4"/>
  <c r="J46" i="4"/>
  <c r="J49" i="4"/>
  <c r="J54" i="4"/>
  <c r="J57" i="4"/>
  <c r="J59" i="4"/>
  <c r="J62" i="4"/>
  <c r="J63" i="4"/>
  <c r="J67" i="4"/>
  <c r="J70" i="4"/>
  <c r="J73" i="4"/>
  <c r="J77" i="4"/>
  <c r="E81" i="4"/>
  <c r="J81" i="4"/>
  <c r="E83" i="4"/>
  <c r="F83" i="4" s="1"/>
  <c r="J83" i="4"/>
  <c r="J86" i="4"/>
  <c r="J88" i="4"/>
  <c r="K88" i="4" s="1"/>
  <c r="M88" i="4" s="1"/>
  <c r="E89" i="4"/>
  <c r="E90" i="4"/>
  <c r="G90" i="4" s="1"/>
  <c r="E93" i="4"/>
  <c r="E128" i="4"/>
  <c r="E131" i="4"/>
  <c r="E132" i="4"/>
  <c r="G132" i="4" s="1"/>
  <c r="E135" i="4"/>
  <c r="E136" i="4"/>
  <c r="F136" i="4" s="1"/>
  <c r="J142" i="4"/>
  <c r="J150" i="4"/>
  <c r="J162" i="4"/>
  <c r="E165" i="4"/>
  <c r="J166" i="4"/>
  <c r="E169" i="4"/>
  <c r="G169" i="4" s="1"/>
  <c r="J178" i="4"/>
  <c r="E181" i="4"/>
  <c r="J182" i="4"/>
  <c r="E183" i="4"/>
  <c r="E185" i="4"/>
  <c r="J186" i="4"/>
  <c r="E189" i="4"/>
  <c r="Q58" i="1" s="1"/>
  <c r="J190" i="4"/>
  <c r="K190" i="4" s="1"/>
  <c r="E193" i="4"/>
  <c r="E197" i="4"/>
  <c r="J28" i="3"/>
  <c r="J36" i="3"/>
  <c r="J38" i="3"/>
  <c r="J45" i="3"/>
  <c r="J47" i="3"/>
  <c r="J49" i="3"/>
  <c r="J51" i="3"/>
  <c r="J52" i="3"/>
  <c r="J54" i="3"/>
  <c r="J61" i="3"/>
  <c r="J63" i="3"/>
  <c r="J65" i="3"/>
  <c r="J67" i="3"/>
  <c r="J68" i="3"/>
  <c r="J70" i="3"/>
  <c r="J83" i="3"/>
  <c r="J89" i="3"/>
  <c r="J128" i="3"/>
  <c r="J145" i="3"/>
  <c r="J150" i="3"/>
  <c r="K150" i="3" s="1"/>
  <c r="T19" i="1" s="1"/>
  <c r="F192" i="4"/>
  <c r="G192" i="4"/>
  <c r="J8" i="3"/>
  <c r="J17" i="3"/>
  <c r="J24" i="3"/>
  <c r="J25" i="3"/>
  <c r="K30" i="3"/>
  <c r="J152" i="3"/>
  <c r="J153" i="3"/>
  <c r="J159" i="3"/>
  <c r="J166" i="3"/>
  <c r="J180" i="3"/>
  <c r="J182" i="3"/>
  <c r="K19" i="4"/>
  <c r="M19" i="4" s="1"/>
  <c r="J30" i="4"/>
  <c r="J52" i="4"/>
  <c r="J58" i="4"/>
  <c r="J65" i="4"/>
  <c r="K65" i="4" s="1"/>
  <c r="J74" i="4"/>
  <c r="E77" i="4"/>
  <c r="J78" i="4"/>
  <c r="E87" i="4"/>
  <c r="J89" i="4"/>
  <c r="K89" i="4" s="1"/>
  <c r="E145" i="4"/>
  <c r="E148" i="4"/>
  <c r="Q17" i="1" s="1"/>
  <c r="J154" i="4"/>
  <c r="E155" i="4"/>
  <c r="Q24" i="1" s="1"/>
  <c r="J156" i="4"/>
  <c r="J158" i="4"/>
  <c r="E179" i="4"/>
  <c r="E187" i="4"/>
  <c r="Q56" i="1" s="1"/>
  <c r="E191" i="4"/>
  <c r="G191" i="4" s="1"/>
  <c r="J196" i="4"/>
  <c r="H203" i="4"/>
  <c r="J203" i="4" s="1"/>
  <c r="K162" i="3"/>
  <c r="T31" i="1" s="1"/>
  <c r="J174" i="3"/>
  <c r="J186" i="3"/>
  <c r="J188" i="3"/>
  <c r="J190" i="3"/>
  <c r="J8" i="4"/>
  <c r="J10" i="4"/>
  <c r="J12" i="4"/>
  <c r="J16" i="4"/>
  <c r="J18" i="4"/>
  <c r="K18" i="4" s="1"/>
  <c r="J20" i="4"/>
  <c r="J24" i="4"/>
  <c r="J32" i="4"/>
  <c r="K32" i="4" s="1"/>
  <c r="J34" i="4"/>
  <c r="J41" i="4"/>
  <c r="J44" i="4"/>
  <c r="J50" i="4"/>
  <c r="K90" i="4"/>
  <c r="L90" i="4" s="1"/>
  <c r="J92" i="4"/>
  <c r="E138" i="4"/>
  <c r="F138" i="4" s="1"/>
  <c r="J146" i="4"/>
  <c r="E147" i="4"/>
  <c r="E153" i="4"/>
  <c r="Q22" i="1" s="1"/>
  <c r="E156" i="4"/>
  <c r="G156" i="4" s="1"/>
  <c r="E163" i="4"/>
  <c r="Q32" i="1" s="1"/>
  <c r="E167" i="4"/>
  <c r="J170" i="4"/>
  <c r="E171" i="4"/>
  <c r="E173" i="4"/>
  <c r="Q42" i="1" s="1"/>
  <c r="J174" i="4"/>
  <c r="K174" i="4" s="1"/>
  <c r="E175" i="4"/>
  <c r="K175" i="4" s="1"/>
  <c r="P44" i="1" s="1"/>
  <c r="E177" i="4"/>
  <c r="K177" i="4" s="1"/>
  <c r="P46" i="1" s="1"/>
  <c r="J179" i="4"/>
  <c r="J184" i="4"/>
  <c r="J188" i="4"/>
  <c r="K188" i="4" s="1"/>
  <c r="P57" i="1" s="1"/>
  <c r="J192" i="4"/>
  <c r="J194" i="4"/>
  <c r="E195" i="4"/>
  <c r="E200" i="4"/>
  <c r="K21" i="4"/>
  <c r="G21" i="4"/>
  <c r="F21" i="4"/>
  <c r="K13" i="4"/>
  <c r="G13" i="4"/>
  <c r="F13" i="4"/>
  <c r="L19" i="4"/>
  <c r="G6" i="4"/>
  <c r="K14" i="4"/>
  <c r="G14" i="4"/>
  <c r="G31" i="4"/>
  <c r="F36" i="4"/>
  <c r="G36" i="4"/>
  <c r="F44" i="4"/>
  <c r="G44" i="4"/>
  <c r="F68" i="4"/>
  <c r="G68" i="4"/>
  <c r="K81" i="4"/>
  <c r="G81" i="4"/>
  <c r="F81" i="4"/>
  <c r="F96" i="4"/>
  <c r="F120" i="4"/>
  <c r="K131" i="4"/>
  <c r="G131" i="4"/>
  <c r="F131" i="4"/>
  <c r="K135" i="4"/>
  <c r="G135" i="4"/>
  <c r="F135" i="4"/>
  <c r="F166" i="4"/>
  <c r="G166" i="4"/>
  <c r="K166" i="4"/>
  <c r="P35" i="1" s="1"/>
  <c r="G176" i="4"/>
  <c r="J9" i="4"/>
  <c r="K9" i="4" s="1"/>
  <c r="E12" i="4"/>
  <c r="J17" i="4"/>
  <c r="K17" i="4" s="1"/>
  <c r="E20" i="4"/>
  <c r="J25" i="4"/>
  <c r="K25" i="4" s="1"/>
  <c r="K26" i="4"/>
  <c r="G26" i="4"/>
  <c r="F26" i="4"/>
  <c r="K27" i="4"/>
  <c r="G27" i="4"/>
  <c r="G28" i="4"/>
  <c r="G33" i="4"/>
  <c r="E78" i="4"/>
  <c r="D79" i="4"/>
  <c r="D219" i="4" s="1"/>
  <c r="G93" i="4"/>
  <c r="F93" i="4"/>
  <c r="K128" i="4"/>
  <c r="P7" i="1" s="1"/>
  <c r="F132" i="4"/>
  <c r="K155" i="4"/>
  <c r="P24" i="1" s="1"/>
  <c r="G155" i="4"/>
  <c r="F155" i="4"/>
  <c r="C75" i="4"/>
  <c r="F19" i="4"/>
  <c r="K29" i="4"/>
  <c r="G29" i="4"/>
  <c r="F29" i="4"/>
  <c r="F31" i="4"/>
  <c r="F37" i="4"/>
  <c r="G41" i="4"/>
  <c r="G45" i="4"/>
  <c r="K49" i="4"/>
  <c r="F49" i="4"/>
  <c r="F53" i="4"/>
  <c r="G57" i="4"/>
  <c r="G61" i="4"/>
  <c r="G65" i="4"/>
  <c r="G69" i="4"/>
  <c r="F69" i="4"/>
  <c r="K73" i="4"/>
  <c r="G73" i="4"/>
  <c r="F73" i="4"/>
  <c r="G22" i="4"/>
  <c r="F30" i="4"/>
  <c r="G30" i="4"/>
  <c r="F52" i="4"/>
  <c r="G52" i="4"/>
  <c r="F60" i="4"/>
  <c r="G60" i="4"/>
  <c r="F14" i="4"/>
  <c r="G9" i="4"/>
  <c r="F9" i="4"/>
  <c r="G11" i="4"/>
  <c r="G17" i="4"/>
  <c r="F17" i="4"/>
  <c r="G19" i="4"/>
  <c r="K24" i="4"/>
  <c r="G25" i="4"/>
  <c r="F27" i="4"/>
  <c r="K34" i="4"/>
  <c r="G34" i="4"/>
  <c r="F34" i="4"/>
  <c r="K35" i="4"/>
  <c r="F35" i="4"/>
  <c r="K36" i="4"/>
  <c r="F43" i="4"/>
  <c r="G43" i="4"/>
  <c r="K44" i="4"/>
  <c r="F51" i="4"/>
  <c r="G51" i="4"/>
  <c r="K52" i="4"/>
  <c r="K59" i="4"/>
  <c r="F59" i="4"/>
  <c r="K60" i="4"/>
  <c r="F67" i="4"/>
  <c r="K67" i="4"/>
  <c r="G67" i="4"/>
  <c r="K68" i="4"/>
  <c r="M89" i="4"/>
  <c r="L89" i="4"/>
  <c r="G112" i="4"/>
  <c r="F112" i="4"/>
  <c r="F188" i="4"/>
  <c r="G188" i="4"/>
  <c r="J40" i="4"/>
  <c r="K42" i="4"/>
  <c r="G42" i="4"/>
  <c r="J48" i="4"/>
  <c r="K50" i="4"/>
  <c r="G50" i="4"/>
  <c r="J72" i="4"/>
  <c r="K74" i="4"/>
  <c r="G74" i="4"/>
  <c r="C94" i="4"/>
  <c r="C218" i="4" s="1"/>
  <c r="E92" i="4"/>
  <c r="E130" i="4"/>
  <c r="E134" i="4"/>
  <c r="F145" i="4"/>
  <c r="G172" i="4"/>
  <c r="K189" i="4"/>
  <c r="P58" i="1" s="1"/>
  <c r="G189" i="4"/>
  <c r="F189" i="4"/>
  <c r="J37" i="4"/>
  <c r="E39" i="4"/>
  <c r="E40" i="4"/>
  <c r="F42" i="4"/>
  <c r="J45" i="4"/>
  <c r="E47" i="4"/>
  <c r="E48" i="4"/>
  <c r="F50" i="4"/>
  <c r="J53" i="4"/>
  <c r="E55" i="4"/>
  <c r="E56" i="4"/>
  <c r="J61" i="4"/>
  <c r="K61" i="4" s="1"/>
  <c r="E63" i="4"/>
  <c r="E64" i="4"/>
  <c r="J69" i="4"/>
  <c r="K69" i="4" s="1"/>
  <c r="E71" i="4"/>
  <c r="E72" i="4"/>
  <c r="F74" i="4"/>
  <c r="D94" i="4"/>
  <c r="D218" i="4" s="1"/>
  <c r="E86" i="4"/>
  <c r="K86" i="4" s="1"/>
  <c r="J93" i="4"/>
  <c r="K93" i="4" s="1"/>
  <c r="F102" i="4"/>
  <c r="F118" i="4"/>
  <c r="E129" i="4"/>
  <c r="E133" i="4"/>
  <c r="G138" i="4"/>
  <c r="K141" i="4"/>
  <c r="P10" i="1" s="1"/>
  <c r="G141" i="4"/>
  <c r="F141" i="4"/>
  <c r="K148" i="4"/>
  <c r="P17" i="1" s="1"/>
  <c r="K149" i="4"/>
  <c r="P18" i="1" s="1"/>
  <c r="G149" i="4"/>
  <c r="F149" i="4"/>
  <c r="K156" i="4"/>
  <c r="P25" i="1" s="1"/>
  <c r="K157" i="4"/>
  <c r="P26" i="1" s="1"/>
  <c r="G157" i="4"/>
  <c r="F157" i="4"/>
  <c r="K173" i="4"/>
  <c r="P42" i="1" s="1"/>
  <c r="G173" i="4"/>
  <c r="F173" i="4"/>
  <c r="J180" i="4"/>
  <c r="F194" i="4"/>
  <c r="G194" i="4"/>
  <c r="J56" i="4"/>
  <c r="K58" i="4"/>
  <c r="G58" i="4"/>
  <c r="J64" i="4"/>
  <c r="K66" i="4"/>
  <c r="G66" i="4"/>
  <c r="E91" i="4"/>
  <c r="E137" i="4"/>
  <c r="G153" i="4"/>
  <c r="F153" i="4"/>
  <c r="E159" i="4"/>
  <c r="Q28" i="1" s="1"/>
  <c r="D75" i="4"/>
  <c r="H200" i="4"/>
  <c r="J200" i="4" s="1"/>
  <c r="K200" i="4" s="1"/>
  <c r="H136" i="4"/>
  <c r="J136" i="4" s="1"/>
  <c r="K136" i="4" s="1"/>
  <c r="H137" i="4"/>
  <c r="J137" i="4" s="1"/>
  <c r="H132" i="4"/>
  <c r="J132" i="4" s="1"/>
  <c r="K132" i="4" s="1"/>
  <c r="H138" i="4"/>
  <c r="J138" i="4" s="1"/>
  <c r="H133" i="4"/>
  <c r="J133" i="4" s="1"/>
  <c r="K38" i="4"/>
  <c r="G38" i="4"/>
  <c r="K46" i="4"/>
  <c r="G46" i="4"/>
  <c r="K54" i="4"/>
  <c r="G54" i="4"/>
  <c r="K62" i="4"/>
  <c r="G62" i="4"/>
  <c r="K70" i="4"/>
  <c r="G70" i="4"/>
  <c r="K83" i="4"/>
  <c r="J87" i="4"/>
  <c r="G89" i="4"/>
  <c r="F89" i="4"/>
  <c r="F108" i="4"/>
  <c r="F116" i="4"/>
  <c r="F124" i="4"/>
  <c r="D139" i="4"/>
  <c r="H134" i="4"/>
  <c r="J134" i="4" s="1"/>
  <c r="K146" i="4"/>
  <c r="P15" i="1" s="1"/>
  <c r="G146" i="4"/>
  <c r="F146" i="4"/>
  <c r="K154" i="4"/>
  <c r="P23" i="1" s="1"/>
  <c r="G154" i="4"/>
  <c r="F154" i="4"/>
  <c r="J164" i="4"/>
  <c r="K164" i="4" s="1"/>
  <c r="P33" i="1" s="1"/>
  <c r="F178" i="4"/>
  <c r="K178" i="4"/>
  <c r="P47" i="1" s="1"/>
  <c r="G178" i="4"/>
  <c r="F182" i="4"/>
  <c r="K191" i="4"/>
  <c r="P60" i="1" s="1"/>
  <c r="K192" i="4"/>
  <c r="P61" i="1" s="1"/>
  <c r="C139" i="4"/>
  <c r="C198" i="4"/>
  <c r="E143" i="4"/>
  <c r="Q12" i="1" s="1"/>
  <c r="E144" i="4"/>
  <c r="Q13" i="1" s="1"/>
  <c r="E151" i="4"/>
  <c r="Q20" i="1" s="1"/>
  <c r="E152" i="4"/>
  <c r="Q21" i="1" s="1"/>
  <c r="E160" i="4"/>
  <c r="Q29" i="1" s="1"/>
  <c r="K161" i="4"/>
  <c r="P30" i="1" s="1"/>
  <c r="G161" i="4"/>
  <c r="K162" i="4"/>
  <c r="P31" i="1" s="1"/>
  <c r="G162" i="4"/>
  <c r="F162" i="4"/>
  <c r="F164" i="4"/>
  <c r="G164" i="4"/>
  <c r="G167" i="4"/>
  <c r="K168" i="4"/>
  <c r="P37" i="1" s="1"/>
  <c r="F170" i="4"/>
  <c r="K170" i="4"/>
  <c r="P39" i="1" s="1"/>
  <c r="F180" i="4"/>
  <c r="K183" i="4"/>
  <c r="P52" i="1" s="1"/>
  <c r="K184" i="4"/>
  <c r="P53" i="1" s="1"/>
  <c r="K186" i="4"/>
  <c r="P55" i="1" s="1"/>
  <c r="F196" i="4"/>
  <c r="G196" i="4"/>
  <c r="K196" i="4"/>
  <c r="P65" i="1" s="1"/>
  <c r="F206" i="4"/>
  <c r="G206" i="4"/>
  <c r="E85" i="4"/>
  <c r="D198" i="4"/>
  <c r="K142" i="4"/>
  <c r="P11" i="1" s="1"/>
  <c r="G142" i="4"/>
  <c r="J145" i="4"/>
  <c r="K145" i="4" s="1"/>
  <c r="P14" i="1" s="1"/>
  <c r="K150" i="4"/>
  <c r="P19" i="1" s="1"/>
  <c r="G150" i="4"/>
  <c r="J153" i="4"/>
  <c r="K153" i="4" s="1"/>
  <c r="P22" i="1" s="1"/>
  <c r="K158" i="4"/>
  <c r="P27" i="1" s="1"/>
  <c r="G158" i="4"/>
  <c r="F161" i="4"/>
  <c r="G165" i="4"/>
  <c r="F167" i="4"/>
  <c r="G168" i="4"/>
  <c r="F174" i="4"/>
  <c r="G174" i="4"/>
  <c r="K181" i="4"/>
  <c r="P50" i="1" s="1"/>
  <c r="F181" i="4"/>
  <c r="G184" i="4"/>
  <c r="G190" i="4"/>
  <c r="G197" i="4"/>
  <c r="F200" i="4"/>
  <c r="F201" i="4" s="1"/>
  <c r="E201" i="4"/>
  <c r="G200" i="4"/>
  <c r="G201" i="4" s="1"/>
  <c r="K163" i="4"/>
  <c r="P32" i="1" s="1"/>
  <c r="G163" i="4"/>
  <c r="G171" i="4"/>
  <c r="G179" i="4"/>
  <c r="K187" i="4"/>
  <c r="P56" i="1" s="1"/>
  <c r="G187" i="4"/>
  <c r="G195" i="4"/>
  <c r="F163" i="4"/>
  <c r="K169" i="4"/>
  <c r="P38" i="1" s="1"/>
  <c r="F171" i="4"/>
  <c r="G177" i="4"/>
  <c r="K185" i="4"/>
  <c r="P54" i="1" s="1"/>
  <c r="G185" i="4"/>
  <c r="F187" i="4"/>
  <c r="K193" i="4"/>
  <c r="P62" i="1" s="1"/>
  <c r="G193" i="4"/>
  <c r="F195" i="4"/>
  <c r="D204" i="4"/>
  <c r="E203" i="4"/>
  <c r="K8" i="3"/>
  <c r="G8" i="3"/>
  <c r="F8" i="3"/>
  <c r="L9" i="3"/>
  <c r="M9" i="3"/>
  <c r="G13" i="3"/>
  <c r="K13" i="3"/>
  <c r="F15" i="3"/>
  <c r="G15" i="3"/>
  <c r="F17" i="3"/>
  <c r="K17" i="3"/>
  <c r="G17" i="3"/>
  <c r="F19" i="3"/>
  <c r="G19" i="3"/>
  <c r="G29" i="3"/>
  <c r="K29" i="3"/>
  <c r="F29" i="3"/>
  <c r="F45" i="3"/>
  <c r="K45" i="3"/>
  <c r="G45" i="3"/>
  <c r="F47" i="3"/>
  <c r="G47" i="3"/>
  <c r="K47" i="3"/>
  <c r="L88" i="3"/>
  <c r="M88" i="3"/>
  <c r="K16" i="3"/>
  <c r="G16" i="3"/>
  <c r="F27" i="3"/>
  <c r="G27" i="3"/>
  <c r="K27" i="3"/>
  <c r="K28" i="3"/>
  <c r="G28" i="3"/>
  <c r="F28" i="3"/>
  <c r="J12" i="3"/>
  <c r="K12" i="3" s="1"/>
  <c r="F13" i="3"/>
  <c r="F16" i="3"/>
  <c r="M30" i="3"/>
  <c r="L30" i="3"/>
  <c r="F31" i="3"/>
  <c r="G31" i="3"/>
  <c r="K31" i="3"/>
  <c r="F61" i="3"/>
  <c r="K61" i="3"/>
  <c r="G61" i="3"/>
  <c r="F63" i="3"/>
  <c r="G63" i="3"/>
  <c r="K63" i="3"/>
  <c r="F7" i="3"/>
  <c r="G7" i="3"/>
  <c r="K14" i="3"/>
  <c r="G14" i="3"/>
  <c r="F14" i="3"/>
  <c r="K21" i="3"/>
  <c r="F25" i="3"/>
  <c r="G25" i="3"/>
  <c r="K25" i="3"/>
  <c r="F37" i="3"/>
  <c r="K37" i="3"/>
  <c r="G37" i="3"/>
  <c r="F39" i="3"/>
  <c r="G39" i="3"/>
  <c r="K39" i="3"/>
  <c r="F69" i="3"/>
  <c r="K69" i="3"/>
  <c r="G69" i="3"/>
  <c r="F71" i="3"/>
  <c r="G71" i="3"/>
  <c r="K71" i="3"/>
  <c r="F106" i="3"/>
  <c r="G106" i="3"/>
  <c r="F11" i="3"/>
  <c r="G11" i="3"/>
  <c r="K11" i="3"/>
  <c r="G12" i="3"/>
  <c r="F12" i="3"/>
  <c r="K24" i="3"/>
  <c r="G24" i="3"/>
  <c r="F24" i="3"/>
  <c r="F53" i="3"/>
  <c r="K53" i="3"/>
  <c r="G53" i="3"/>
  <c r="F55" i="3"/>
  <c r="G55" i="3"/>
  <c r="K55" i="3"/>
  <c r="F81" i="3"/>
  <c r="K81" i="3"/>
  <c r="G81" i="3"/>
  <c r="K20" i="3"/>
  <c r="G20" i="3"/>
  <c r="K34" i="3"/>
  <c r="G34" i="3"/>
  <c r="K51" i="3"/>
  <c r="K59" i="3"/>
  <c r="K67" i="3"/>
  <c r="K74" i="3"/>
  <c r="G74" i="3"/>
  <c r="K77" i="3"/>
  <c r="K87" i="3"/>
  <c r="F146" i="3"/>
  <c r="G146" i="3"/>
  <c r="K146" i="3"/>
  <c r="T15" i="1" s="1"/>
  <c r="K149" i="3"/>
  <c r="T18" i="1" s="1"/>
  <c r="G149" i="3"/>
  <c r="F149" i="3"/>
  <c r="F188" i="3"/>
  <c r="G188" i="3"/>
  <c r="K188" i="3"/>
  <c r="T57" i="1" s="1"/>
  <c r="D75" i="3"/>
  <c r="J15" i="3"/>
  <c r="K15" i="3" s="1"/>
  <c r="E18" i="3"/>
  <c r="F20" i="3"/>
  <c r="H200" i="3"/>
  <c r="J200" i="3" s="1"/>
  <c r="K200" i="3" s="1"/>
  <c r="H138" i="3"/>
  <c r="J138" i="3" s="1"/>
  <c r="K138" i="3" s="1"/>
  <c r="H134" i="3"/>
  <c r="J134" i="3" s="1"/>
  <c r="K134" i="3" s="1"/>
  <c r="H136" i="3"/>
  <c r="H132" i="3"/>
  <c r="J132" i="3" s="1"/>
  <c r="K132" i="3" s="1"/>
  <c r="H131" i="3"/>
  <c r="J131" i="3" s="1"/>
  <c r="K131" i="3" s="1"/>
  <c r="H133" i="3"/>
  <c r="J133" i="3" s="1"/>
  <c r="G23" i="3"/>
  <c r="F30" i="3"/>
  <c r="K32" i="3"/>
  <c r="G32" i="3"/>
  <c r="K33" i="3"/>
  <c r="G51" i="3"/>
  <c r="G59" i="3"/>
  <c r="G67" i="3"/>
  <c r="F74" i="3"/>
  <c r="K86" i="3"/>
  <c r="G91" i="3"/>
  <c r="F91" i="3"/>
  <c r="F96" i="3"/>
  <c r="G96" i="3"/>
  <c r="F100" i="3"/>
  <c r="G100" i="3"/>
  <c r="L150" i="3"/>
  <c r="M150" i="3"/>
  <c r="F176" i="3"/>
  <c r="G176" i="3"/>
  <c r="K176" i="3"/>
  <c r="T45" i="1" s="1"/>
  <c r="F192" i="3"/>
  <c r="G192" i="3"/>
  <c r="K192" i="3"/>
  <c r="T61" i="1" s="1"/>
  <c r="E6" i="3"/>
  <c r="J19" i="3"/>
  <c r="K19" i="3" s="1"/>
  <c r="F21" i="3"/>
  <c r="E22" i="3"/>
  <c r="G30" i="3"/>
  <c r="F32" i="3"/>
  <c r="G33" i="3"/>
  <c r="K38" i="3"/>
  <c r="G38" i="3"/>
  <c r="G41" i="3"/>
  <c r="K46" i="3"/>
  <c r="G46" i="3"/>
  <c r="G49" i="3"/>
  <c r="K54" i="3"/>
  <c r="G54" i="3"/>
  <c r="G57" i="3"/>
  <c r="K62" i="3"/>
  <c r="G62" i="3"/>
  <c r="G65" i="3"/>
  <c r="K70" i="3"/>
  <c r="G70" i="3"/>
  <c r="G73" i="3"/>
  <c r="E79" i="3"/>
  <c r="K83" i="3"/>
  <c r="G83" i="3"/>
  <c r="E85" i="3"/>
  <c r="F86" i="3"/>
  <c r="G88" i="3"/>
  <c r="L90" i="3"/>
  <c r="M96" i="3"/>
  <c r="L96" i="3"/>
  <c r="M98" i="3"/>
  <c r="L98" i="3"/>
  <c r="M100" i="3"/>
  <c r="L100" i="3"/>
  <c r="F130" i="3"/>
  <c r="G130" i="3"/>
  <c r="L148" i="3"/>
  <c r="M148" i="3"/>
  <c r="F150" i="3"/>
  <c r="G150" i="3"/>
  <c r="K155" i="3"/>
  <c r="T24" i="1" s="1"/>
  <c r="G155" i="3"/>
  <c r="F155" i="3"/>
  <c r="F164" i="3"/>
  <c r="G164" i="3"/>
  <c r="K164" i="3"/>
  <c r="T33" i="1" s="1"/>
  <c r="F180" i="3"/>
  <c r="G180" i="3"/>
  <c r="K180" i="3"/>
  <c r="T49" i="1" s="1"/>
  <c r="F196" i="3"/>
  <c r="G196" i="3"/>
  <c r="K196" i="3"/>
  <c r="T65" i="1" s="1"/>
  <c r="K35" i="3"/>
  <c r="K42" i="3"/>
  <c r="G42" i="3"/>
  <c r="K43" i="3"/>
  <c r="K50" i="3"/>
  <c r="G50" i="3"/>
  <c r="K58" i="3"/>
  <c r="G58" i="3"/>
  <c r="K66" i="3"/>
  <c r="G66" i="3"/>
  <c r="F132" i="3"/>
  <c r="G132" i="3"/>
  <c r="F156" i="3"/>
  <c r="G156" i="3"/>
  <c r="K156" i="3"/>
  <c r="T25" i="1" s="1"/>
  <c r="F172" i="3"/>
  <c r="G172" i="3"/>
  <c r="K172" i="3"/>
  <c r="T41" i="1" s="1"/>
  <c r="F34" i="3"/>
  <c r="G35" i="3"/>
  <c r="K40" i="3"/>
  <c r="G40" i="3"/>
  <c r="K41" i="3"/>
  <c r="F42" i="3"/>
  <c r="G43" i="3"/>
  <c r="K48" i="3"/>
  <c r="G48" i="3"/>
  <c r="K49" i="3"/>
  <c r="K56" i="3"/>
  <c r="G56" i="3"/>
  <c r="K57" i="3"/>
  <c r="K64" i="3"/>
  <c r="G64" i="3"/>
  <c r="K65" i="3"/>
  <c r="K72" i="3"/>
  <c r="G72" i="3"/>
  <c r="K73" i="3"/>
  <c r="G77" i="3"/>
  <c r="D94" i="3"/>
  <c r="C218" i="3" s="1"/>
  <c r="G87" i="3"/>
  <c r="F98" i="3"/>
  <c r="G98" i="3"/>
  <c r="F102" i="3"/>
  <c r="G102" i="3"/>
  <c r="F138" i="3"/>
  <c r="G138" i="3"/>
  <c r="J7" i="3"/>
  <c r="K7" i="3" s="1"/>
  <c r="E10" i="3"/>
  <c r="H203" i="3"/>
  <c r="J203" i="3" s="1"/>
  <c r="H130" i="3"/>
  <c r="J130" i="3" s="1"/>
  <c r="K130" i="3" s="1"/>
  <c r="G21" i="3"/>
  <c r="J22" i="3"/>
  <c r="J23" i="3"/>
  <c r="K23" i="3" s="1"/>
  <c r="E26" i="3"/>
  <c r="K36" i="3"/>
  <c r="G36" i="3"/>
  <c r="F38" i="3"/>
  <c r="G44" i="3"/>
  <c r="J44" i="3"/>
  <c r="K44" i="3" s="1"/>
  <c r="F46" i="3"/>
  <c r="K52" i="3"/>
  <c r="G52" i="3"/>
  <c r="F54" i="3"/>
  <c r="K60" i="3"/>
  <c r="G60" i="3"/>
  <c r="F62" i="3"/>
  <c r="K68" i="3"/>
  <c r="G68" i="3"/>
  <c r="F70" i="3"/>
  <c r="K78" i="3"/>
  <c r="G78" i="3"/>
  <c r="F83" i="3"/>
  <c r="G90" i="3"/>
  <c r="K92" i="3"/>
  <c r="G93" i="3"/>
  <c r="K93" i="3"/>
  <c r="K135" i="3"/>
  <c r="G135" i="3"/>
  <c r="F135" i="3"/>
  <c r="H137" i="3"/>
  <c r="J137" i="3" s="1"/>
  <c r="K137" i="3" s="1"/>
  <c r="F152" i="3"/>
  <c r="K152" i="3"/>
  <c r="T21" i="1" s="1"/>
  <c r="F168" i="3"/>
  <c r="G168" i="3"/>
  <c r="K168" i="3"/>
  <c r="T37" i="1" s="1"/>
  <c r="F184" i="3"/>
  <c r="G184" i="3"/>
  <c r="K184" i="3"/>
  <c r="T53" i="1" s="1"/>
  <c r="E89" i="3"/>
  <c r="K89" i="3" s="1"/>
  <c r="G108" i="3"/>
  <c r="F108" i="3"/>
  <c r="G112" i="3"/>
  <c r="F112" i="3"/>
  <c r="G116" i="3"/>
  <c r="F116" i="3"/>
  <c r="G120" i="3"/>
  <c r="F120" i="3"/>
  <c r="G124" i="3"/>
  <c r="F124" i="3"/>
  <c r="G128" i="3"/>
  <c r="K128" i="3"/>
  <c r="T7" i="1" s="1"/>
  <c r="F128" i="3"/>
  <c r="E129" i="3"/>
  <c r="E139" i="3" s="1"/>
  <c r="D139" i="3"/>
  <c r="G131" i="3"/>
  <c r="F134" i="3"/>
  <c r="G134" i="3"/>
  <c r="F136" i="3"/>
  <c r="D198" i="3"/>
  <c r="E141" i="3"/>
  <c r="AK10" i="1" s="1"/>
  <c r="AL10" i="1" s="1"/>
  <c r="K142" i="3"/>
  <c r="T11" i="1" s="1"/>
  <c r="F144" i="3"/>
  <c r="K144" i="3"/>
  <c r="T13" i="1" s="1"/>
  <c r="K147" i="3"/>
  <c r="T16" i="1" s="1"/>
  <c r="G147" i="3"/>
  <c r="F147" i="3"/>
  <c r="F160" i="3"/>
  <c r="K160" i="3"/>
  <c r="T29" i="1" s="1"/>
  <c r="G160" i="3"/>
  <c r="G110" i="3"/>
  <c r="F110" i="3"/>
  <c r="G114" i="3"/>
  <c r="F114" i="3"/>
  <c r="G118" i="3"/>
  <c r="F118" i="3"/>
  <c r="G122" i="3"/>
  <c r="F122" i="3"/>
  <c r="G126" i="3"/>
  <c r="F126" i="3"/>
  <c r="F148" i="3"/>
  <c r="G148" i="3"/>
  <c r="F154" i="3"/>
  <c r="G154" i="3"/>
  <c r="K154" i="3"/>
  <c r="T23" i="1" s="1"/>
  <c r="K157" i="3"/>
  <c r="T26" i="1" s="1"/>
  <c r="G157" i="3"/>
  <c r="K158" i="3"/>
  <c r="T27" i="1" s="1"/>
  <c r="K161" i="3"/>
  <c r="T30" i="1" s="1"/>
  <c r="G161" i="3"/>
  <c r="F161" i="3"/>
  <c r="K133" i="3"/>
  <c r="G133" i="3"/>
  <c r="J136" i="3"/>
  <c r="K136" i="3" s="1"/>
  <c r="G137" i="3"/>
  <c r="K145" i="3"/>
  <c r="T14" i="1" s="1"/>
  <c r="G145" i="3"/>
  <c r="K153" i="3"/>
  <c r="T22" i="1" s="1"/>
  <c r="G153" i="3"/>
  <c r="K163" i="3"/>
  <c r="T32" i="1" s="1"/>
  <c r="G163" i="3"/>
  <c r="F163" i="3"/>
  <c r="K171" i="3"/>
  <c r="T40" i="1" s="1"/>
  <c r="G171" i="3"/>
  <c r="F171" i="3"/>
  <c r="K179" i="3"/>
  <c r="T48" i="1" s="1"/>
  <c r="G179" i="3"/>
  <c r="F179" i="3"/>
  <c r="K187" i="3"/>
  <c r="T56" i="1" s="1"/>
  <c r="G187" i="3"/>
  <c r="F187" i="3"/>
  <c r="K195" i="3"/>
  <c r="T64" i="1" s="1"/>
  <c r="G195" i="3"/>
  <c r="F195" i="3"/>
  <c r="C139" i="3"/>
  <c r="C198" i="3"/>
  <c r="K143" i="3"/>
  <c r="T12" i="1" s="1"/>
  <c r="G143" i="3"/>
  <c r="K151" i="3"/>
  <c r="T20" i="1" s="1"/>
  <c r="G151" i="3"/>
  <c r="K167" i="3"/>
  <c r="T36" i="1" s="1"/>
  <c r="G167" i="3"/>
  <c r="F167" i="3"/>
  <c r="F170" i="3"/>
  <c r="K170" i="3"/>
  <c r="T39" i="1" s="1"/>
  <c r="K175" i="3"/>
  <c r="T44" i="1" s="1"/>
  <c r="G175" i="3"/>
  <c r="F175" i="3"/>
  <c r="F178" i="3"/>
  <c r="K178" i="3"/>
  <c r="T47" i="1" s="1"/>
  <c r="K183" i="3"/>
  <c r="T52" i="1" s="1"/>
  <c r="G183" i="3"/>
  <c r="F183" i="3"/>
  <c r="F186" i="3"/>
  <c r="K186" i="3"/>
  <c r="T55" i="1" s="1"/>
  <c r="K191" i="3"/>
  <c r="T60" i="1" s="1"/>
  <c r="G191" i="3"/>
  <c r="F191" i="3"/>
  <c r="F194" i="3"/>
  <c r="K194" i="3"/>
  <c r="T63" i="1" s="1"/>
  <c r="G162" i="3"/>
  <c r="K169" i="3"/>
  <c r="T38" i="1" s="1"/>
  <c r="G169" i="3"/>
  <c r="K177" i="3"/>
  <c r="T46" i="1" s="1"/>
  <c r="G177" i="3"/>
  <c r="K185" i="3"/>
  <c r="T54" i="1" s="1"/>
  <c r="G185" i="3"/>
  <c r="K193" i="3"/>
  <c r="T62" i="1" s="1"/>
  <c r="G193" i="3"/>
  <c r="D204" i="3"/>
  <c r="E203" i="3"/>
  <c r="E159" i="3"/>
  <c r="AK28" i="1" s="1"/>
  <c r="AL28" i="1" s="1"/>
  <c r="K165" i="3"/>
  <c r="T34" i="1" s="1"/>
  <c r="G165" i="3"/>
  <c r="K166" i="3"/>
  <c r="T35" i="1" s="1"/>
  <c r="K173" i="3"/>
  <c r="T42" i="1" s="1"/>
  <c r="G173" i="3"/>
  <c r="K174" i="3"/>
  <c r="T43" i="1" s="1"/>
  <c r="K181" i="3"/>
  <c r="T50" i="1" s="1"/>
  <c r="G181" i="3"/>
  <c r="K182" i="3"/>
  <c r="T51" i="1" s="1"/>
  <c r="K189" i="3"/>
  <c r="T58" i="1" s="1"/>
  <c r="G189" i="3"/>
  <c r="K190" i="3"/>
  <c r="T59" i="1" s="1"/>
  <c r="K197" i="3"/>
  <c r="T66" i="1" s="1"/>
  <c r="G197" i="3"/>
  <c r="F200" i="3"/>
  <c r="F201" i="3" s="1"/>
  <c r="E201" i="3"/>
  <c r="L88" i="4" l="1"/>
  <c r="G83" i="4"/>
  <c r="F104" i="4"/>
  <c r="F175" i="4"/>
  <c r="K31" i="4"/>
  <c r="K11" i="4"/>
  <c r="K91" i="3"/>
  <c r="K51" i="4"/>
  <c r="K43" i="4"/>
  <c r="K30" i="4"/>
  <c r="Q64" i="1"/>
  <c r="K195" i="4"/>
  <c r="P64" i="1" s="1"/>
  <c r="P43" i="1"/>
  <c r="L174" i="4"/>
  <c r="Q40" i="1"/>
  <c r="K171" i="4"/>
  <c r="P40" i="1" s="1"/>
  <c r="Q36" i="1"/>
  <c r="K167" i="4"/>
  <c r="P36" i="1" s="1"/>
  <c r="Q16" i="1"/>
  <c r="K147" i="4"/>
  <c r="P16" i="1" s="1"/>
  <c r="Q48" i="1"/>
  <c r="K179" i="4"/>
  <c r="P48" i="1" s="1"/>
  <c r="F179" i="4"/>
  <c r="Q14" i="1"/>
  <c r="G145" i="4"/>
  <c r="G87" i="4"/>
  <c r="F87" i="4"/>
  <c r="K77" i="4"/>
  <c r="F77" i="4"/>
  <c r="Q66" i="1"/>
  <c r="K197" i="4"/>
  <c r="P66" i="1" s="1"/>
  <c r="F197" i="4"/>
  <c r="Q52" i="1"/>
  <c r="G183" i="4"/>
  <c r="F183" i="4"/>
  <c r="Q50" i="1"/>
  <c r="G181" i="4"/>
  <c r="Q34" i="1"/>
  <c r="K165" i="4"/>
  <c r="P34" i="1" s="1"/>
  <c r="F165" i="4"/>
  <c r="Q7" i="1"/>
  <c r="G128" i="4"/>
  <c r="Q63" i="1"/>
  <c r="K194" i="4"/>
  <c r="P63" i="1" s="1"/>
  <c r="Q59" i="1"/>
  <c r="F190" i="4"/>
  <c r="Q55" i="1"/>
  <c r="F186" i="4"/>
  <c r="Q49" i="1"/>
  <c r="G180" i="4"/>
  <c r="K57" i="4"/>
  <c r="F57" i="4"/>
  <c r="K41" i="4"/>
  <c r="F41" i="4"/>
  <c r="K33" i="4"/>
  <c r="F33" i="4"/>
  <c r="F28" i="4"/>
  <c r="K28" i="4"/>
  <c r="F22" i="4"/>
  <c r="K22" i="4"/>
  <c r="F18" i="4"/>
  <c r="G18" i="4"/>
  <c r="F16" i="4"/>
  <c r="G16" i="4"/>
  <c r="K16" i="4"/>
  <c r="F10" i="4"/>
  <c r="G10" i="4"/>
  <c r="F8" i="4"/>
  <c r="G8" i="4"/>
  <c r="K8" i="4"/>
  <c r="F7" i="4"/>
  <c r="K7" i="4"/>
  <c r="K6" i="4"/>
  <c r="F6" i="4"/>
  <c r="Q51" i="1"/>
  <c r="G182" i="4"/>
  <c r="Q45" i="1"/>
  <c r="F176" i="4"/>
  <c r="K176" i="4"/>
  <c r="P45" i="1" s="1"/>
  <c r="Q41" i="1"/>
  <c r="F172" i="4"/>
  <c r="K172" i="4"/>
  <c r="P41" i="1" s="1"/>
  <c r="M174" i="4"/>
  <c r="G136" i="4"/>
  <c r="M90" i="4"/>
  <c r="F11" i="4"/>
  <c r="F128" i="4"/>
  <c r="F15" i="4"/>
  <c r="G126" i="4"/>
  <c r="F126" i="4"/>
  <c r="G110" i="4"/>
  <c r="F110" i="4"/>
  <c r="K87" i="4"/>
  <c r="L87" i="4" s="1"/>
  <c r="K138" i="4"/>
  <c r="K180" i="4"/>
  <c r="P49" i="1" s="1"/>
  <c r="K53" i="4"/>
  <c r="K45" i="4"/>
  <c r="K37" i="4"/>
  <c r="K10" i="4"/>
  <c r="K182" i="4"/>
  <c r="K15" i="4"/>
  <c r="L11" i="4"/>
  <c r="M11" i="4"/>
  <c r="F147" i="4"/>
  <c r="F90" i="4"/>
  <c r="P59" i="1"/>
  <c r="M190" i="4"/>
  <c r="L190" i="4"/>
  <c r="G147" i="4"/>
  <c r="F193" i="3"/>
  <c r="AK62" i="1"/>
  <c r="AL62" i="1" s="1"/>
  <c r="F177" i="3"/>
  <c r="AK46" i="1"/>
  <c r="AL46" i="1" s="1"/>
  <c r="F145" i="3"/>
  <c r="AK14" i="1"/>
  <c r="AL14" i="1" s="1"/>
  <c r="F151" i="3"/>
  <c r="AK20" i="1"/>
  <c r="AL20" i="1" s="1"/>
  <c r="F143" i="3"/>
  <c r="AK12" i="1"/>
  <c r="AL12" i="1" s="1"/>
  <c r="F181" i="3"/>
  <c r="AK50" i="1"/>
  <c r="AL50" i="1" s="1"/>
  <c r="F173" i="3"/>
  <c r="AK42" i="1"/>
  <c r="AL42" i="1" s="1"/>
  <c r="F189" i="3"/>
  <c r="AK58" i="1"/>
  <c r="AL58" i="1" s="1"/>
  <c r="F157" i="3"/>
  <c r="AK26" i="1"/>
  <c r="AL26" i="1" s="1"/>
  <c r="F169" i="3"/>
  <c r="AK38" i="1"/>
  <c r="AL38" i="1" s="1"/>
  <c r="F165" i="3"/>
  <c r="AK34" i="1"/>
  <c r="AL34" i="1" s="1"/>
  <c r="F153" i="3"/>
  <c r="AK22" i="1"/>
  <c r="AL22" i="1" s="1"/>
  <c r="F185" i="3"/>
  <c r="AK54" i="1"/>
  <c r="AL54" i="1" s="1"/>
  <c r="G194" i="3"/>
  <c r="AK63" i="1"/>
  <c r="AL63" i="1" s="1"/>
  <c r="G186" i="3"/>
  <c r="AK55" i="1"/>
  <c r="AL55" i="1" s="1"/>
  <c r="F197" i="3"/>
  <c r="AK66" i="1"/>
  <c r="AL66" i="1" s="1"/>
  <c r="P51" i="1"/>
  <c r="L182" i="4"/>
  <c r="M182" i="4"/>
  <c r="G175" i="4"/>
  <c r="Q44" i="1"/>
  <c r="E79" i="4"/>
  <c r="F193" i="4"/>
  <c r="Q62" i="1"/>
  <c r="F185" i="4"/>
  <c r="Q54" i="1"/>
  <c r="F23" i="4"/>
  <c r="G23" i="4"/>
  <c r="K23" i="4"/>
  <c r="F79" i="3"/>
  <c r="C208" i="3"/>
  <c r="F177" i="4"/>
  <c r="Q46" i="1"/>
  <c r="F156" i="4"/>
  <c r="Q25" i="1"/>
  <c r="F191" i="4"/>
  <c r="Q60" i="1"/>
  <c r="F169" i="4"/>
  <c r="Q38" i="1"/>
  <c r="E198" i="4"/>
  <c r="G77" i="4"/>
  <c r="F148" i="4"/>
  <c r="G148" i="4"/>
  <c r="L162" i="3"/>
  <c r="M162" i="3"/>
  <c r="M145" i="4"/>
  <c r="L145" i="4"/>
  <c r="L164" i="4"/>
  <c r="M164" i="4"/>
  <c r="L136" i="4"/>
  <c r="M136" i="4"/>
  <c r="L180" i="4"/>
  <c r="M180" i="4"/>
  <c r="M9" i="4"/>
  <c r="L9" i="4"/>
  <c r="L61" i="4"/>
  <c r="M61" i="4"/>
  <c r="L132" i="4"/>
  <c r="M132" i="4"/>
  <c r="M17" i="4"/>
  <c r="L17" i="4"/>
  <c r="M169" i="4"/>
  <c r="L169" i="4"/>
  <c r="M181" i="4"/>
  <c r="L181" i="4"/>
  <c r="L142" i="4"/>
  <c r="M142" i="4"/>
  <c r="L186" i="4"/>
  <c r="M186" i="4"/>
  <c r="L170" i="4"/>
  <c r="M170" i="4"/>
  <c r="M161" i="4"/>
  <c r="L161" i="4"/>
  <c r="M185" i="4"/>
  <c r="L185" i="4"/>
  <c r="L158" i="4"/>
  <c r="M158" i="4"/>
  <c r="F85" i="4"/>
  <c r="E94" i="4"/>
  <c r="K85" i="4"/>
  <c r="G85" i="4"/>
  <c r="L184" i="4"/>
  <c r="M184" i="4"/>
  <c r="L168" i="4"/>
  <c r="M168" i="4"/>
  <c r="L162" i="4"/>
  <c r="M162" i="4"/>
  <c r="F152" i="4"/>
  <c r="G152" i="4"/>
  <c r="K152" i="4"/>
  <c r="P21" i="1" s="1"/>
  <c r="M191" i="4"/>
  <c r="L191" i="4"/>
  <c r="L178" i="4"/>
  <c r="M178" i="4"/>
  <c r="D217" i="4"/>
  <c r="D223" i="4" s="1"/>
  <c r="D208" i="4"/>
  <c r="K91" i="4"/>
  <c r="G91" i="4"/>
  <c r="F91" i="4"/>
  <c r="L194" i="4"/>
  <c r="M194" i="4"/>
  <c r="F86" i="4"/>
  <c r="G86" i="4"/>
  <c r="F71" i="4"/>
  <c r="K71" i="4"/>
  <c r="G71" i="4"/>
  <c r="L42" i="4"/>
  <c r="M42" i="4"/>
  <c r="M16" i="4"/>
  <c r="L16" i="4"/>
  <c r="L28" i="4"/>
  <c r="M28" i="4"/>
  <c r="L45" i="4"/>
  <c r="M45" i="4"/>
  <c r="L10" i="4"/>
  <c r="M10" i="4"/>
  <c r="M155" i="4"/>
  <c r="L155" i="4"/>
  <c r="F78" i="4"/>
  <c r="G78" i="4"/>
  <c r="K78" i="4"/>
  <c r="L166" i="4"/>
  <c r="M166" i="4"/>
  <c r="M135" i="4"/>
  <c r="L135" i="4"/>
  <c r="G79" i="4"/>
  <c r="L14" i="4"/>
  <c r="M14" i="4"/>
  <c r="K203" i="4"/>
  <c r="G203" i="4"/>
  <c r="G204" i="4" s="1"/>
  <c r="E204" i="4"/>
  <c r="F203" i="4"/>
  <c r="F204" i="4" s="1"/>
  <c r="M193" i="4"/>
  <c r="L193" i="4"/>
  <c r="M195" i="4"/>
  <c r="L195" i="4"/>
  <c r="M179" i="4"/>
  <c r="L179" i="4"/>
  <c r="M163" i="4"/>
  <c r="L163" i="4"/>
  <c r="M165" i="4"/>
  <c r="L165" i="4"/>
  <c r="F151" i="4"/>
  <c r="K151" i="4"/>
  <c r="P20" i="1" s="1"/>
  <c r="G151" i="4"/>
  <c r="L146" i="4"/>
  <c r="M146" i="4"/>
  <c r="M87" i="4"/>
  <c r="L70" i="4"/>
  <c r="M70" i="4"/>
  <c r="L54" i="4"/>
  <c r="M54" i="4"/>
  <c r="L38" i="4"/>
  <c r="M38" i="4"/>
  <c r="L58" i="4"/>
  <c r="M58" i="4"/>
  <c r="K133" i="4"/>
  <c r="F133" i="4"/>
  <c r="G133" i="4"/>
  <c r="F56" i="4"/>
  <c r="G56" i="4"/>
  <c r="K56" i="4"/>
  <c r="F48" i="4"/>
  <c r="G48" i="4"/>
  <c r="K48" i="4"/>
  <c r="F40" i="4"/>
  <c r="G40" i="4"/>
  <c r="K40" i="4"/>
  <c r="F134" i="4"/>
  <c r="K134" i="4"/>
  <c r="G134" i="4"/>
  <c r="L50" i="4"/>
  <c r="M50" i="4"/>
  <c r="L176" i="4"/>
  <c r="M176" i="4"/>
  <c r="M67" i="4"/>
  <c r="L67" i="4"/>
  <c r="M51" i="4"/>
  <c r="L51" i="4"/>
  <c r="M43" i="4"/>
  <c r="L43" i="4"/>
  <c r="L34" i="4"/>
  <c r="M34" i="4"/>
  <c r="M8" i="4"/>
  <c r="L8" i="4"/>
  <c r="M175" i="4"/>
  <c r="L175" i="4"/>
  <c r="M65" i="4"/>
  <c r="L65" i="4"/>
  <c r="L49" i="4"/>
  <c r="M49" i="4"/>
  <c r="L18" i="4"/>
  <c r="M18" i="4"/>
  <c r="C217" i="4"/>
  <c r="C223" i="4" s="1"/>
  <c r="C208" i="4"/>
  <c r="L26" i="4"/>
  <c r="M26" i="4"/>
  <c r="F12" i="4"/>
  <c r="G12" i="4"/>
  <c r="K12" i="4"/>
  <c r="M147" i="4"/>
  <c r="L147" i="4"/>
  <c r="M77" i="4"/>
  <c r="L77" i="4"/>
  <c r="M21" i="4"/>
  <c r="L21" i="4"/>
  <c r="M183" i="4"/>
  <c r="L183" i="4"/>
  <c r="M167" i="4"/>
  <c r="L167" i="4"/>
  <c r="F144" i="4"/>
  <c r="G144" i="4"/>
  <c r="K144" i="4"/>
  <c r="P13" i="1" s="1"/>
  <c r="L192" i="4"/>
  <c r="M192" i="4"/>
  <c r="L154" i="4"/>
  <c r="M154" i="4"/>
  <c r="M153" i="4"/>
  <c r="L153" i="4"/>
  <c r="L66" i="4"/>
  <c r="M66" i="4"/>
  <c r="L157" i="4"/>
  <c r="M157" i="4"/>
  <c r="L149" i="4"/>
  <c r="M149" i="4"/>
  <c r="K129" i="4"/>
  <c r="F129" i="4"/>
  <c r="G129" i="4"/>
  <c r="F64" i="4"/>
  <c r="G64" i="4"/>
  <c r="K64" i="4"/>
  <c r="F55" i="4"/>
  <c r="G55" i="4"/>
  <c r="K55" i="4"/>
  <c r="F47" i="4"/>
  <c r="K47" i="4"/>
  <c r="G47" i="4"/>
  <c r="F39" i="4"/>
  <c r="G39" i="4"/>
  <c r="K39" i="4"/>
  <c r="M189" i="4"/>
  <c r="L189" i="4"/>
  <c r="F130" i="4"/>
  <c r="K130" i="4"/>
  <c r="G130" i="4"/>
  <c r="L74" i="4"/>
  <c r="M74" i="4"/>
  <c r="L188" i="4"/>
  <c r="M188" i="4"/>
  <c r="M59" i="4"/>
  <c r="L59" i="4"/>
  <c r="M35" i="4"/>
  <c r="L35" i="4"/>
  <c r="M32" i="4"/>
  <c r="L32" i="4"/>
  <c r="M25" i="4"/>
  <c r="L25" i="4"/>
  <c r="L30" i="4"/>
  <c r="M30" i="4"/>
  <c r="L22" i="4"/>
  <c r="M22" i="4"/>
  <c r="L69" i="4"/>
  <c r="M69" i="4"/>
  <c r="L53" i="4"/>
  <c r="M53" i="4"/>
  <c r="L37" i="4"/>
  <c r="M37" i="4"/>
  <c r="M29" i="4"/>
  <c r="L29" i="4"/>
  <c r="L128" i="4"/>
  <c r="M128" i="4"/>
  <c r="M86" i="4"/>
  <c r="L86" i="4"/>
  <c r="M27" i="4"/>
  <c r="L27" i="4"/>
  <c r="L81" i="4"/>
  <c r="M81" i="4"/>
  <c r="M31" i="4"/>
  <c r="L31" i="4"/>
  <c r="L6" i="4"/>
  <c r="M6" i="4"/>
  <c r="L13" i="4"/>
  <c r="M13" i="4"/>
  <c r="M177" i="4"/>
  <c r="L177" i="4"/>
  <c r="M187" i="4"/>
  <c r="L187" i="4"/>
  <c r="M171" i="4"/>
  <c r="L171" i="4"/>
  <c r="M197" i="4"/>
  <c r="L197" i="4"/>
  <c r="L150" i="4"/>
  <c r="M150" i="4"/>
  <c r="L196" i="4"/>
  <c r="M196" i="4"/>
  <c r="F160" i="4"/>
  <c r="K160" i="4"/>
  <c r="P29" i="1" s="1"/>
  <c r="G160" i="4"/>
  <c r="F143" i="4"/>
  <c r="K143" i="4"/>
  <c r="P12" i="1" s="1"/>
  <c r="G143" i="4"/>
  <c r="L83" i="4"/>
  <c r="M83" i="4"/>
  <c r="L62" i="4"/>
  <c r="M62" i="4"/>
  <c r="L46" i="4"/>
  <c r="M46" i="4"/>
  <c r="M138" i="4"/>
  <c r="L138" i="4"/>
  <c r="L200" i="4"/>
  <c r="L201" i="4" s="1"/>
  <c r="M200" i="4"/>
  <c r="M201" i="4" s="1"/>
  <c r="K201" i="4"/>
  <c r="K159" i="4"/>
  <c r="P28" i="1" s="1"/>
  <c r="G159" i="4"/>
  <c r="F159" i="4"/>
  <c r="G137" i="4"/>
  <c r="K137" i="4"/>
  <c r="F137" i="4"/>
  <c r="M173" i="4"/>
  <c r="L173" i="4"/>
  <c r="M156" i="4"/>
  <c r="L156" i="4"/>
  <c r="M148" i="4"/>
  <c r="L148" i="4"/>
  <c r="L141" i="4"/>
  <c r="M141" i="4"/>
  <c r="M93" i="4"/>
  <c r="L93" i="4"/>
  <c r="F72" i="4"/>
  <c r="G72" i="4"/>
  <c r="K72" i="4"/>
  <c r="F63" i="4"/>
  <c r="K63" i="4"/>
  <c r="G63" i="4"/>
  <c r="L172" i="4"/>
  <c r="M172" i="4"/>
  <c r="F92" i="4"/>
  <c r="K92" i="4"/>
  <c r="G92" i="4"/>
  <c r="M68" i="4"/>
  <c r="L68" i="4"/>
  <c r="M60" i="4"/>
  <c r="L60" i="4"/>
  <c r="M52" i="4"/>
  <c r="L52" i="4"/>
  <c r="M44" i="4"/>
  <c r="L44" i="4"/>
  <c r="M36" i="4"/>
  <c r="L36" i="4"/>
  <c r="M24" i="4"/>
  <c r="L24" i="4"/>
  <c r="L73" i="4"/>
  <c r="M73" i="4"/>
  <c r="M57" i="4"/>
  <c r="L57" i="4"/>
  <c r="L41" i="4"/>
  <c r="M41" i="4"/>
  <c r="E139" i="4"/>
  <c r="M33" i="4"/>
  <c r="L33" i="4"/>
  <c r="F20" i="4"/>
  <c r="F75" i="4" s="1"/>
  <c r="G20" i="4"/>
  <c r="K20" i="4"/>
  <c r="M131" i="4"/>
  <c r="L131" i="4"/>
  <c r="F79" i="4"/>
  <c r="E75" i="4"/>
  <c r="L136" i="3"/>
  <c r="M136" i="3"/>
  <c r="L138" i="3"/>
  <c r="M138" i="3"/>
  <c r="L130" i="3"/>
  <c r="M130" i="3"/>
  <c r="L134" i="3"/>
  <c r="M134" i="3"/>
  <c r="M137" i="3"/>
  <c r="L137" i="3"/>
  <c r="L23" i="3"/>
  <c r="M23" i="3"/>
  <c r="M19" i="3"/>
  <c r="L19" i="3"/>
  <c r="L132" i="3"/>
  <c r="M132" i="3"/>
  <c r="L200" i="3"/>
  <c r="L201" i="3" s="1"/>
  <c r="M200" i="3"/>
  <c r="M201" i="3" s="1"/>
  <c r="K201" i="3"/>
  <c r="L190" i="3"/>
  <c r="M190" i="3"/>
  <c r="M173" i="3"/>
  <c r="L173" i="3"/>
  <c r="M167" i="3"/>
  <c r="L167" i="3"/>
  <c r="L144" i="3"/>
  <c r="M144" i="3"/>
  <c r="K129" i="3"/>
  <c r="G129" i="3"/>
  <c r="F129" i="3"/>
  <c r="F139" i="3" s="1"/>
  <c r="L184" i="3"/>
  <c r="M184" i="3"/>
  <c r="M189" i="3"/>
  <c r="L189" i="3"/>
  <c r="L174" i="3"/>
  <c r="M174" i="3"/>
  <c r="L186" i="3"/>
  <c r="M186" i="3"/>
  <c r="M183" i="3"/>
  <c r="L183" i="3"/>
  <c r="M151" i="3"/>
  <c r="L151" i="3"/>
  <c r="M171" i="3"/>
  <c r="L171" i="3"/>
  <c r="M133" i="3"/>
  <c r="L133" i="3"/>
  <c r="L161" i="3"/>
  <c r="M161" i="3"/>
  <c r="L154" i="3"/>
  <c r="M154" i="3"/>
  <c r="L142" i="3"/>
  <c r="M142" i="3"/>
  <c r="M131" i="3"/>
  <c r="L131" i="3"/>
  <c r="L128" i="3"/>
  <c r="M128" i="3"/>
  <c r="L152" i="3"/>
  <c r="M152" i="3"/>
  <c r="M68" i="3"/>
  <c r="L68" i="3"/>
  <c r="K10" i="3"/>
  <c r="G10" i="3"/>
  <c r="F10" i="3"/>
  <c r="G79" i="3"/>
  <c r="L65" i="3"/>
  <c r="M65" i="3"/>
  <c r="M48" i="3"/>
  <c r="L48" i="3"/>
  <c r="L172" i="3"/>
  <c r="M172" i="3"/>
  <c r="M58" i="3"/>
  <c r="L58" i="3"/>
  <c r="L196" i="3"/>
  <c r="M196" i="3"/>
  <c r="F85" i="3"/>
  <c r="G85" i="3"/>
  <c r="E94" i="3"/>
  <c r="M54" i="3"/>
  <c r="L54" i="3"/>
  <c r="L86" i="3"/>
  <c r="M86" i="3"/>
  <c r="C217" i="3"/>
  <c r="C223" i="3" s="1"/>
  <c r="D208" i="3"/>
  <c r="E208" i="3" s="1"/>
  <c r="L77" i="3"/>
  <c r="K79" i="3"/>
  <c r="K219" i="3" s="1"/>
  <c r="M77" i="3"/>
  <c r="L59" i="3"/>
  <c r="M59" i="3"/>
  <c r="L12" i="3"/>
  <c r="M12" i="3"/>
  <c r="D217" i="3"/>
  <c r="D223" i="3" s="1"/>
  <c r="L31" i="3"/>
  <c r="M31" i="3"/>
  <c r="L17" i="3"/>
  <c r="M17" i="3"/>
  <c r="M197" i="3"/>
  <c r="L197" i="3"/>
  <c r="L182" i="3"/>
  <c r="M182" i="3"/>
  <c r="M165" i="3"/>
  <c r="L165" i="3"/>
  <c r="M185" i="3"/>
  <c r="L185" i="3"/>
  <c r="M169" i="3"/>
  <c r="L169" i="3"/>
  <c r="L178" i="3"/>
  <c r="M178" i="3"/>
  <c r="M175" i="3"/>
  <c r="L175" i="3"/>
  <c r="M179" i="3"/>
  <c r="L179" i="3"/>
  <c r="M153" i="3"/>
  <c r="L153" i="3"/>
  <c r="L158" i="3"/>
  <c r="M158" i="3"/>
  <c r="M160" i="3"/>
  <c r="L160" i="3"/>
  <c r="M147" i="3"/>
  <c r="L147" i="3"/>
  <c r="K141" i="3"/>
  <c r="T10" i="1" s="1"/>
  <c r="G141" i="3"/>
  <c r="E198" i="3"/>
  <c r="F141" i="3"/>
  <c r="G139" i="3"/>
  <c r="G89" i="3"/>
  <c r="F89" i="3"/>
  <c r="L168" i="3"/>
  <c r="M168" i="3"/>
  <c r="L92" i="3"/>
  <c r="M92" i="3"/>
  <c r="M78" i="3"/>
  <c r="L78" i="3"/>
  <c r="M36" i="3"/>
  <c r="L36" i="3"/>
  <c r="M7" i="3"/>
  <c r="L7" i="3"/>
  <c r="L73" i="3"/>
  <c r="M73" i="3"/>
  <c r="M56" i="3"/>
  <c r="L56" i="3"/>
  <c r="M40" i="3"/>
  <c r="L40" i="3"/>
  <c r="M42" i="3"/>
  <c r="L42" i="3"/>
  <c r="M62" i="3"/>
  <c r="L62" i="3"/>
  <c r="E75" i="3"/>
  <c r="F6" i="3"/>
  <c r="K6" i="3"/>
  <c r="G6" i="3"/>
  <c r="L176" i="3"/>
  <c r="M176" i="3"/>
  <c r="L33" i="3"/>
  <c r="M33" i="3"/>
  <c r="L188" i="3"/>
  <c r="M188" i="3"/>
  <c r="L51" i="3"/>
  <c r="M51" i="3"/>
  <c r="M20" i="3"/>
  <c r="L20" i="3"/>
  <c r="L55" i="3"/>
  <c r="M55" i="3"/>
  <c r="L53" i="3"/>
  <c r="M53" i="3"/>
  <c r="M24" i="3"/>
  <c r="L24" i="3"/>
  <c r="M11" i="3"/>
  <c r="L11" i="3"/>
  <c r="L39" i="3"/>
  <c r="M39" i="3"/>
  <c r="L37" i="3"/>
  <c r="M37" i="3"/>
  <c r="M14" i="3"/>
  <c r="L14" i="3"/>
  <c r="L13" i="3"/>
  <c r="M13" i="3"/>
  <c r="K159" i="3"/>
  <c r="T28" i="1" s="1"/>
  <c r="G159" i="3"/>
  <c r="F159" i="3"/>
  <c r="L170" i="3"/>
  <c r="M170" i="3"/>
  <c r="M143" i="3"/>
  <c r="L143" i="3"/>
  <c r="M187" i="3"/>
  <c r="L187" i="3"/>
  <c r="M135" i="3"/>
  <c r="L135" i="3"/>
  <c r="M52" i="3"/>
  <c r="L52" i="3"/>
  <c r="M44" i="3"/>
  <c r="L44" i="3"/>
  <c r="K26" i="3"/>
  <c r="G26" i="3"/>
  <c r="F26" i="3"/>
  <c r="M64" i="3"/>
  <c r="L64" i="3"/>
  <c r="L49" i="3"/>
  <c r="M49" i="3"/>
  <c r="M66" i="3"/>
  <c r="L66" i="3"/>
  <c r="M50" i="3"/>
  <c r="L50" i="3"/>
  <c r="L35" i="3"/>
  <c r="M35" i="3"/>
  <c r="L164" i="3"/>
  <c r="M164" i="3"/>
  <c r="M83" i="3"/>
  <c r="L83" i="3"/>
  <c r="M70" i="3"/>
  <c r="L70" i="3"/>
  <c r="M38" i="3"/>
  <c r="L38" i="3"/>
  <c r="F22" i="3"/>
  <c r="K22" i="3"/>
  <c r="G22" i="3"/>
  <c r="L192" i="3"/>
  <c r="M192" i="3"/>
  <c r="K18" i="3"/>
  <c r="G18" i="3"/>
  <c r="F18" i="3"/>
  <c r="M149" i="3"/>
  <c r="L149" i="3"/>
  <c r="M74" i="3"/>
  <c r="L74" i="3"/>
  <c r="M89" i="3"/>
  <c r="L89" i="3"/>
  <c r="L21" i="3"/>
  <c r="M21" i="3"/>
  <c r="L63" i="3"/>
  <c r="M63" i="3"/>
  <c r="L61" i="3"/>
  <c r="M61" i="3"/>
  <c r="L28" i="3"/>
  <c r="M28" i="3"/>
  <c r="K85" i="3"/>
  <c r="L29" i="3"/>
  <c r="M29" i="3"/>
  <c r="L15" i="3"/>
  <c r="M15" i="3"/>
  <c r="M181" i="3"/>
  <c r="L181" i="3"/>
  <c r="L166" i="3"/>
  <c r="M166" i="3"/>
  <c r="K203" i="3"/>
  <c r="G203" i="3"/>
  <c r="G204" i="3" s="1"/>
  <c r="E204" i="3"/>
  <c r="F203" i="3"/>
  <c r="F204" i="3" s="1"/>
  <c r="M193" i="3"/>
  <c r="L193" i="3"/>
  <c r="M177" i="3"/>
  <c r="L177" i="3"/>
  <c r="L194" i="3"/>
  <c r="M194" i="3"/>
  <c r="M191" i="3"/>
  <c r="L191" i="3"/>
  <c r="M195" i="3"/>
  <c r="L195" i="3"/>
  <c r="M163" i="3"/>
  <c r="L163" i="3"/>
  <c r="M145" i="3"/>
  <c r="L145" i="3"/>
  <c r="M157" i="3"/>
  <c r="L157" i="3"/>
  <c r="M93" i="3"/>
  <c r="L93" i="3"/>
  <c r="M60" i="3"/>
  <c r="L60" i="3"/>
  <c r="M72" i="3"/>
  <c r="L72" i="3"/>
  <c r="L57" i="3"/>
  <c r="M57" i="3"/>
  <c r="L41" i="3"/>
  <c r="M41" i="3"/>
  <c r="L156" i="3"/>
  <c r="M156" i="3"/>
  <c r="L43" i="3"/>
  <c r="M43" i="3"/>
  <c r="L180" i="3"/>
  <c r="M180" i="3"/>
  <c r="M155" i="3"/>
  <c r="L155" i="3"/>
  <c r="M46" i="3"/>
  <c r="L46" i="3"/>
  <c r="M32" i="3"/>
  <c r="L32" i="3"/>
  <c r="L146" i="3"/>
  <c r="M146" i="3"/>
  <c r="M87" i="3"/>
  <c r="L87" i="3"/>
  <c r="L67" i="3"/>
  <c r="M67" i="3"/>
  <c r="M34" i="3"/>
  <c r="L34" i="3"/>
  <c r="L81" i="3"/>
  <c r="M81" i="3"/>
  <c r="L71" i="3"/>
  <c r="M71" i="3"/>
  <c r="L69" i="3"/>
  <c r="M69" i="3"/>
  <c r="L25" i="3"/>
  <c r="M25" i="3"/>
  <c r="M27" i="3"/>
  <c r="L27" i="3"/>
  <c r="M16" i="3"/>
  <c r="L16" i="3"/>
  <c r="L47" i="3"/>
  <c r="M47" i="3"/>
  <c r="L45" i="3"/>
  <c r="M45" i="3"/>
  <c r="M8" i="3"/>
  <c r="L8" i="3"/>
  <c r="L91" i="3" l="1"/>
  <c r="M91" i="3"/>
  <c r="M7" i="4"/>
  <c r="L7" i="4"/>
  <c r="M15" i="4"/>
  <c r="L15" i="4"/>
  <c r="F139" i="4"/>
  <c r="F198" i="4"/>
  <c r="G75" i="4"/>
  <c r="G198" i="3"/>
  <c r="F94" i="3"/>
  <c r="L23" i="4"/>
  <c r="M23" i="4"/>
  <c r="G198" i="4"/>
  <c r="K139" i="4"/>
  <c r="G139" i="4"/>
  <c r="M63" i="4"/>
  <c r="L63" i="4"/>
  <c r="M39" i="4"/>
  <c r="L39" i="4"/>
  <c r="M47" i="4"/>
  <c r="L47" i="4"/>
  <c r="M144" i="4"/>
  <c r="L144" i="4"/>
  <c r="E208" i="4"/>
  <c r="K198" i="4"/>
  <c r="M159" i="4"/>
  <c r="L159" i="4"/>
  <c r="K204" i="4"/>
  <c r="M203" i="4"/>
  <c r="M204" i="4" s="1"/>
  <c r="L203" i="4"/>
  <c r="L204" i="4" s="1"/>
  <c r="M78" i="4"/>
  <c r="L78" i="4"/>
  <c r="L79" i="4" s="1"/>
  <c r="M152" i="4"/>
  <c r="L152" i="4"/>
  <c r="F94" i="4"/>
  <c r="M20" i="4"/>
  <c r="L20" i="4"/>
  <c r="M72" i="4"/>
  <c r="L72" i="4"/>
  <c r="M143" i="4"/>
  <c r="L143" i="4"/>
  <c r="M55" i="4"/>
  <c r="L55" i="4"/>
  <c r="M129" i="4"/>
  <c r="L129" i="4"/>
  <c r="K79" i="4"/>
  <c r="K219" i="4" s="1"/>
  <c r="M134" i="4"/>
  <c r="L134" i="4"/>
  <c r="M56" i="4"/>
  <c r="L56" i="4"/>
  <c r="M151" i="4"/>
  <c r="L151" i="4"/>
  <c r="M71" i="4"/>
  <c r="L71" i="4"/>
  <c r="M91" i="4"/>
  <c r="L91" i="4"/>
  <c r="G94" i="4"/>
  <c r="G208" i="4" s="1"/>
  <c r="M130" i="4"/>
  <c r="L130" i="4"/>
  <c r="M79" i="4"/>
  <c r="M40" i="4"/>
  <c r="L40" i="4"/>
  <c r="M137" i="4"/>
  <c r="L137" i="4"/>
  <c r="M160" i="4"/>
  <c r="L160" i="4"/>
  <c r="L198" i="4" s="1"/>
  <c r="M64" i="4"/>
  <c r="L64" i="4"/>
  <c r="M92" i="4"/>
  <c r="L92" i="4"/>
  <c r="K75" i="4"/>
  <c r="M12" i="4"/>
  <c r="L12" i="4"/>
  <c r="M48" i="4"/>
  <c r="L48" i="4"/>
  <c r="M133" i="4"/>
  <c r="L133" i="4"/>
  <c r="K94" i="4"/>
  <c r="K218" i="4" s="1"/>
  <c r="M85" i="4"/>
  <c r="M94" i="4" s="1"/>
  <c r="L85" i="4"/>
  <c r="L85" i="3"/>
  <c r="L94" i="3" s="1"/>
  <c r="M85" i="3"/>
  <c r="M94" i="3" s="1"/>
  <c r="K94" i="3"/>
  <c r="K218" i="3" s="1"/>
  <c r="F198" i="3"/>
  <c r="M129" i="3"/>
  <c r="M139" i="3" s="1"/>
  <c r="L129" i="3"/>
  <c r="L139" i="3" s="1"/>
  <c r="M18" i="3"/>
  <c r="L18" i="3"/>
  <c r="M22" i="3"/>
  <c r="L22" i="3"/>
  <c r="G75" i="3"/>
  <c r="M79" i="3"/>
  <c r="M159" i="3"/>
  <c r="L159" i="3"/>
  <c r="K75" i="3"/>
  <c r="M6" i="3"/>
  <c r="L6" i="3"/>
  <c r="M10" i="3"/>
  <c r="L10" i="3"/>
  <c r="K204" i="3"/>
  <c r="M203" i="3"/>
  <c r="M204" i="3" s="1"/>
  <c r="L203" i="3"/>
  <c r="L204" i="3" s="1"/>
  <c r="M26" i="3"/>
  <c r="L26" i="3"/>
  <c r="F75" i="3"/>
  <c r="K198" i="3"/>
  <c r="M141" i="3"/>
  <c r="M198" i="3" s="1"/>
  <c r="L141" i="3"/>
  <c r="L198" i="3" s="1"/>
  <c r="L79" i="3"/>
  <c r="G94" i="3"/>
  <c r="K139" i="3"/>
  <c r="R65" i="1"/>
  <c r="S65" i="1" s="1"/>
  <c r="U65" i="1" s="1"/>
  <c r="P67" i="1"/>
  <c r="P68" i="1" s="1"/>
  <c r="Q67" i="1"/>
  <c r="Q68" i="1" s="1"/>
  <c r="T67" i="1"/>
  <c r="T68" i="1" s="1"/>
  <c r="T72" i="1" s="1"/>
  <c r="R48" i="1"/>
  <c r="S48" i="1" s="1"/>
  <c r="U48" i="1" s="1"/>
  <c r="R46" i="1"/>
  <c r="S46" i="1" s="1"/>
  <c r="U46" i="1" s="1"/>
  <c r="R44" i="1"/>
  <c r="S44" i="1" s="1"/>
  <c r="U44" i="1" s="1"/>
  <c r="R42" i="1"/>
  <c r="S42" i="1" s="1"/>
  <c r="U42" i="1" s="1"/>
  <c r="R40" i="1"/>
  <c r="S40" i="1" s="1"/>
  <c r="U40" i="1" s="1"/>
  <c r="R38" i="1"/>
  <c r="S38" i="1" s="1"/>
  <c r="U38" i="1" s="1"/>
  <c r="R36" i="1"/>
  <c r="S36" i="1" s="1"/>
  <c r="U36" i="1" s="1"/>
  <c r="R34" i="1"/>
  <c r="S34" i="1" s="1"/>
  <c r="U34" i="1" s="1"/>
  <c r="R32" i="1"/>
  <c r="S32" i="1" s="1"/>
  <c r="U32" i="1" s="1"/>
  <c r="R30" i="1"/>
  <c r="S30" i="1" s="1"/>
  <c r="U30" i="1" s="1"/>
  <c r="R28" i="1"/>
  <c r="S28" i="1" s="1"/>
  <c r="U28" i="1" s="1"/>
  <c r="R26" i="1"/>
  <c r="S26" i="1" s="1"/>
  <c r="U26" i="1" s="1"/>
  <c r="R24" i="1"/>
  <c r="S24" i="1" s="1"/>
  <c r="U24" i="1" s="1"/>
  <c r="R22" i="1"/>
  <c r="S22" i="1" s="1"/>
  <c r="U22" i="1" s="1"/>
  <c r="R20" i="1"/>
  <c r="S20" i="1" s="1"/>
  <c r="U20" i="1" s="1"/>
  <c r="R18" i="1"/>
  <c r="S18" i="1" s="1"/>
  <c r="U18" i="1" s="1"/>
  <c r="R16" i="1"/>
  <c r="S16" i="1" s="1"/>
  <c r="U16" i="1" s="1"/>
  <c r="R14" i="1"/>
  <c r="S14" i="1" s="1"/>
  <c r="U14" i="1" s="1"/>
  <c r="R12" i="1"/>
  <c r="S12" i="1" s="1"/>
  <c r="U12" i="1" s="1"/>
  <c r="R10" i="1"/>
  <c r="AK67" i="1"/>
  <c r="AK68" i="1" s="1"/>
  <c r="AI66" i="1"/>
  <c r="AJ66" i="1" s="1"/>
  <c r="AM66" i="1" s="1"/>
  <c r="AI65" i="1"/>
  <c r="AJ65" i="1" s="1"/>
  <c r="AM65" i="1" s="1"/>
  <c r="AI64" i="1"/>
  <c r="AJ64" i="1" s="1"/>
  <c r="AM64" i="1" s="1"/>
  <c r="AI63" i="1"/>
  <c r="AJ63" i="1" s="1"/>
  <c r="AM63" i="1" s="1"/>
  <c r="AI62" i="1"/>
  <c r="AJ62" i="1" s="1"/>
  <c r="AM62" i="1" s="1"/>
  <c r="AI61" i="1"/>
  <c r="AJ61" i="1" s="1"/>
  <c r="AM61" i="1" s="1"/>
  <c r="AI60" i="1"/>
  <c r="AJ60" i="1" s="1"/>
  <c r="AM60" i="1" s="1"/>
  <c r="AI59" i="1"/>
  <c r="AJ59" i="1" s="1"/>
  <c r="AM59" i="1" s="1"/>
  <c r="AI58" i="1"/>
  <c r="AJ58" i="1" s="1"/>
  <c r="AM58" i="1" s="1"/>
  <c r="AI57" i="1"/>
  <c r="AJ57" i="1" s="1"/>
  <c r="AM57" i="1" s="1"/>
  <c r="AI56" i="1"/>
  <c r="AJ56" i="1" s="1"/>
  <c r="AM56" i="1" s="1"/>
  <c r="AI55" i="1"/>
  <c r="AJ55" i="1" s="1"/>
  <c r="AM55" i="1" s="1"/>
  <c r="AI54" i="1"/>
  <c r="AJ54" i="1" s="1"/>
  <c r="AM54" i="1" s="1"/>
  <c r="AI53" i="1"/>
  <c r="AJ53" i="1" s="1"/>
  <c r="AM53" i="1" s="1"/>
  <c r="AI52" i="1"/>
  <c r="AJ52" i="1" s="1"/>
  <c r="AM52" i="1" s="1"/>
  <c r="AI51" i="1"/>
  <c r="AJ51" i="1" s="1"/>
  <c r="AM51" i="1" s="1"/>
  <c r="AI50" i="1"/>
  <c r="AJ50" i="1" s="1"/>
  <c r="AM50" i="1" s="1"/>
  <c r="AI49" i="1"/>
  <c r="AJ49" i="1" s="1"/>
  <c r="AM49" i="1" s="1"/>
  <c r="AI48" i="1"/>
  <c r="AJ48" i="1" s="1"/>
  <c r="AM48" i="1" s="1"/>
  <c r="AI47" i="1"/>
  <c r="AJ47" i="1" s="1"/>
  <c r="AM47" i="1" s="1"/>
  <c r="AI46" i="1"/>
  <c r="AJ46" i="1" s="1"/>
  <c r="AM46" i="1" s="1"/>
  <c r="AI45" i="1"/>
  <c r="AJ45" i="1" s="1"/>
  <c r="AM45" i="1" s="1"/>
  <c r="AI44" i="1"/>
  <c r="AJ44" i="1" s="1"/>
  <c r="AM44" i="1" s="1"/>
  <c r="AI43" i="1"/>
  <c r="AJ43" i="1" s="1"/>
  <c r="AM43" i="1" s="1"/>
  <c r="AI42" i="1"/>
  <c r="AJ42" i="1" s="1"/>
  <c r="AM42" i="1" s="1"/>
  <c r="AI41" i="1"/>
  <c r="AJ41" i="1" s="1"/>
  <c r="AM41" i="1" s="1"/>
  <c r="AI40" i="1"/>
  <c r="AJ40" i="1" s="1"/>
  <c r="AI39" i="1"/>
  <c r="AJ39" i="1" s="1"/>
  <c r="AI38" i="1"/>
  <c r="AJ38" i="1" s="1"/>
  <c r="AI37" i="1"/>
  <c r="AJ37" i="1" s="1"/>
  <c r="AI36" i="1"/>
  <c r="AJ36" i="1" s="1"/>
  <c r="AI35" i="1"/>
  <c r="AJ35" i="1" s="1"/>
  <c r="AI34" i="1"/>
  <c r="AJ34" i="1" s="1"/>
  <c r="AI33" i="1"/>
  <c r="AJ33" i="1" s="1"/>
  <c r="AI32" i="1"/>
  <c r="AJ32" i="1" s="1"/>
  <c r="AI31" i="1"/>
  <c r="AJ31" i="1" s="1"/>
  <c r="AI30" i="1"/>
  <c r="AJ30" i="1" s="1"/>
  <c r="AI29" i="1"/>
  <c r="AJ29" i="1" s="1"/>
  <c r="AI28" i="1"/>
  <c r="AJ28" i="1" s="1"/>
  <c r="AI27" i="1"/>
  <c r="AJ27" i="1" s="1"/>
  <c r="AI26" i="1"/>
  <c r="AJ26" i="1" s="1"/>
  <c r="AI25" i="1"/>
  <c r="AJ25" i="1" s="1"/>
  <c r="AI24" i="1"/>
  <c r="AJ24" i="1" s="1"/>
  <c r="AI23" i="1"/>
  <c r="AJ23" i="1" s="1"/>
  <c r="AI22" i="1"/>
  <c r="AJ22" i="1" s="1"/>
  <c r="AM22" i="1" s="1"/>
  <c r="AI21" i="1"/>
  <c r="AJ21" i="1" s="1"/>
  <c r="AM21" i="1" s="1"/>
  <c r="AI20" i="1"/>
  <c r="AJ20" i="1" s="1"/>
  <c r="AI19" i="1"/>
  <c r="AJ19" i="1" s="1"/>
  <c r="AI18" i="1"/>
  <c r="AJ18" i="1" s="1"/>
  <c r="AI17" i="1"/>
  <c r="AJ17" i="1" s="1"/>
  <c r="AI16" i="1"/>
  <c r="AJ16" i="1" s="1"/>
  <c r="AI15" i="1"/>
  <c r="AJ15" i="1" s="1"/>
  <c r="AI14" i="1"/>
  <c r="AJ14" i="1" s="1"/>
  <c r="AI13" i="1"/>
  <c r="AJ13" i="1" s="1"/>
  <c r="AI12" i="1"/>
  <c r="AJ12" i="1" s="1"/>
  <c r="AI11" i="1"/>
  <c r="AJ11" i="1" s="1"/>
  <c r="AI10" i="1"/>
  <c r="AJ10" i="1" s="1"/>
  <c r="AI7" i="1"/>
  <c r="AJ7" i="1" s="1"/>
  <c r="AG66" i="1"/>
  <c r="AG39" i="1"/>
  <c r="AG30" i="1"/>
  <c r="AG28" i="1"/>
  <c r="AG18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7" i="1"/>
  <c r="H67" i="1"/>
  <c r="H68" i="1" s="1"/>
  <c r="J67" i="1"/>
  <c r="J68" i="1" s="1"/>
  <c r="L67" i="1"/>
  <c r="L68" i="1" s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7" i="1"/>
  <c r="F208" i="4" l="1"/>
  <c r="L94" i="4"/>
  <c r="N7" i="1"/>
  <c r="N11" i="1"/>
  <c r="N13" i="1"/>
  <c r="N15" i="1"/>
  <c r="N17" i="1"/>
  <c r="N19" i="1"/>
  <c r="N21" i="1"/>
  <c r="N23" i="1"/>
  <c r="N25" i="1"/>
  <c r="N27" i="1"/>
  <c r="N29" i="1"/>
  <c r="N31" i="1"/>
  <c r="N33" i="1"/>
  <c r="N35" i="1"/>
  <c r="N37" i="1"/>
  <c r="N39" i="1"/>
  <c r="N41" i="1"/>
  <c r="N43" i="1"/>
  <c r="N45" i="1"/>
  <c r="N47" i="1"/>
  <c r="N49" i="1"/>
  <c r="N51" i="1"/>
  <c r="N53" i="1"/>
  <c r="N55" i="1"/>
  <c r="N57" i="1"/>
  <c r="N59" i="1"/>
  <c r="N61" i="1"/>
  <c r="N63" i="1"/>
  <c r="N65" i="1"/>
  <c r="AM7" i="1"/>
  <c r="AM11" i="1"/>
  <c r="AM13" i="1"/>
  <c r="AM15" i="1"/>
  <c r="AM17" i="1"/>
  <c r="AM19" i="1"/>
  <c r="AM23" i="1"/>
  <c r="AM25" i="1"/>
  <c r="AM27" i="1"/>
  <c r="AM29" i="1"/>
  <c r="AM31" i="1"/>
  <c r="AM33" i="1"/>
  <c r="AM35" i="1"/>
  <c r="AM37" i="1"/>
  <c r="AM39" i="1"/>
  <c r="AL67" i="1"/>
  <c r="AL68" i="1" s="1"/>
  <c r="N12" i="1"/>
  <c r="N14" i="1"/>
  <c r="N16" i="1"/>
  <c r="N18" i="1"/>
  <c r="N20" i="1"/>
  <c r="N22" i="1"/>
  <c r="N24" i="1"/>
  <c r="N26" i="1"/>
  <c r="N28" i="1"/>
  <c r="N30" i="1"/>
  <c r="N32" i="1"/>
  <c r="N34" i="1"/>
  <c r="N36" i="1"/>
  <c r="N38" i="1"/>
  <c r="N40" i="1"/>
  <c r="N42" i="1"/>
  <c r="N44" i="1"/>
  <c r="N46" i="1"/>
  <c r="N48" i="1"/>
  <c r="N50" i="1"/>
  <c r="N52" i="1"/>
  <c r="N54" i="1"/>
  <c r="N56" i="1"/>
  <c r="N58" i="1"/>
  <c r="N60" i="1"/>
  <c r="N62" i="1"/>
  <c r="N64" i="1"/>
  <c r="N66" i="1"/>
  <c r="AM14" i="1"/>
  <c r="AM20" i="1"/>
  <c r="AM12" i="1"/>
  <c r="AM16" i="1"/>
  <c r="AM18" i="1"/>
  <c r="AM24" i="1"/>
  <c r="AM26" i="1"/>
  <c r="AM28" i="1"/>
  <c r="AM30" i="1"/>
  <c r="AM32" i="1"/>
  <c r="AM34" i="1"/>
  <c r="AM36" i="1"/>
  <c r="AM38" i="1"/>
  <c r="AM40" i="1"/>
  <c r="M67" i="1"/>
  <c r="M68" i="1" s="1"/>
  <c r="M72" i="1" s="1"/>
  <c r="K67" i="1"/>
  <c r="L75" i="4"/>
  <c r="M139" i="4"/>
  <c r="M198" i="4"/>
  <c r="M75" i="4"/>
  <c r="L139" i="4"/>
  <c r="L208" i="4" s="1"/>
  <c r="K217" i="4"/>
  <c r="K223" i="4" s="1"/>
  <c r="K225" i="4" s="1"/>
  <c r="K208" i="4"/>
  <c r="G208" i="3"/>
  <c r="F208" i="3"/>
  <c r="L75" i="3"/>
  <c r="L208" i="3" s="1"/>
  <c r="M75" i="3"/>
  <c r="M208" i="3" s="1"/>
  <c r="K217" i="3"/>
  <c r="K223" i="3" s="1"/>
  <c r="K225" i="3" s="1"/>
  <c r="K208" i="3"/>
  <c r="R54" i="1"/>
  <c r="S54" i="1" s="1"/>
  <c r="U54" i="1" s="1"/>
  <c r="R62" i="1"/>
  <c r="S62" i="1" s="1"/>
  <c r="U62" i="1" s="1"/>
  <c r="R50" i="1"/>
  <c r="S50" i="1" s="1"/>
  <c r="U50" i="1" s="1"/>
  <c r="R58" i="1"/>
  <c r="S58" i="1" s="1"/>
  <c r="U58" i="1" s="1"/>
  <c r="R66" i="1"/>
  <c r="S66" i="1" s="1"/>
  <c r="U66" i="1" s="1"/>
  <c r="R52" i="1"/>
  <c r="S52" i="1" s="1"/>
  <c r="U52" i="1" s="1"/>
  <c r="R56" i="1"/>
  <c r="S56" i="1" s="1"/>
  <c r="U56" i="1" s="1"/>
  <c r="R60" i="1"/>
  <c r="S60" i="1" s="1"/>
  <c r="U60" i="1" s="1"/>
  <c r="R64" i="1"/>
  <c r="S64" i="1" s="1"/>
  <c r="U64" i="1" s="1"/>
  <c r="R7" i="1"/>
  <c r="S7" i="1" s="1"/>
  <c r="U7" i="1" s="1"/>
  <c r="R11" i="1"/>
  <c r="S11" i="1" s="1"/>
  <c r="U11" i="1" s="1"/>
  <c r="R13" i="1"/>
  <c r="S13" i="1" s="1"/>
  <c r="U13" i="1" s="1"/>
  <c r="R15" i="1"/>
  <c r="S15" i="1" s="1"/>
  <c r="U15" i="1" s="1"/>
  <c r="R17" i="1"/>
  <c r="S17" i="1" s="1"/>
  <c r="U17" i="1" s="1"/>
  <c r="R19" i="1"/>
  <c r="S19" i="1" s="1"/>
  <c r="U19" i="1" s="1"/>
  <c r="R21" i="1"/>
  <c r="S21" i="1" s="1"/>
  <c r="U21" i="1" s="1"/>
  <c r="R23" i="1"/>
  <c r="S23" i="1" s="1"/>
  <c r="U23" i="1" s="1"/>
  <c r="R25" i="1"/>
  <c r="S25" i="1" s="1"/>
  <c r="U25" i="1" s="1"/>
  <c r="R27" i="1"/>
  <c r="S27" i="1" s="1"/>
  <c r="U27" i="1" s="1"/>
  <c r="R29" i="1"/>
  <c r="S29" i="1" s="1"/>
  <c r="U29" i="1" s="1"/>
  <c r="R31" i="1"/>
  <c r="S31" i="1" s="1"/>
  <c r="U31" i="1" s="1"/>
  <c r="R33" i="1"/>
  <c r="S33" i="1" s="1"/>
  <c r="U33" i="1" s="1"/>
  <c r="R35" i="1"/>
  <c r="S35" i="1" s="1"/>
  <c r="U35" i="1" s="1"/>
  <c r="R37" i="1"/>
  <c r="S37" i="1" s="1"/>
  <c r="U37" i="1" s="1"/>
  <c r="R39" i="1"/>
  <c r="S39" i="1" s="1"/>
  <c r="U39" i="1" s="1"/>
  <c r="R41" i="1"/>
  <c r="S41" i="1" s="1"/>
  <c r="U41" i="1" s="1"/>
  <c r="R43" i="1"/>
  <c r="S43" i="1" s="1"/>
  <c r="U43" i="1" s="1"/>
  <c r="R45" i="1"/>
  <c r="S45" i="1" s="1"/>
  <c r="U45" i="1" s="1"/>
  <c r="R47" i="1"/>
  <c r="S47" i="1" s="1"/>
  <c r="U47" i="1" s="1"/>
  <c r="R49" i="1"/>
  <c r="S49" i="1" s="1"/>
  <c r="U49" i="1" s="1"/>
  <c r="R51" i="1"/>
  <c r="S51" i="1" s="1"/>
  <c r="U51" i="1" s="1"/>
  <c r="R53" i="1"/>
  <c r="S53" i="1" s="1"/>
  <c r="U53" i="1" s="1"/>
  <c r="R55" i="1"/>
  <c r="S55" i="1" s="1"/>
  <c r="U55" i="1" s="1"/>
  <c r="R57" i="1"/>
  <c r="S57" i="1" s="1"/>
  <c r="U57" i="1" s="1"/>
  <c r="R59" i="1"/>
  <c r="S59" i="1" s="1"/>
  <c r="U59" i="1" s="1"/>
  <c r="R61" i="1"/>
  <c r="S61" i="1" s="1"/>
  <c r="U61" i="1" s="1"/>
  <c r="R63" i="1"/>
  <c r="S63" i="1" s="1"/>
  <c r="U63" i="1" s="1"/>
  <c r="S10" i="1"/>
  <c r="AJ67" i="1"/>
  <c r="AJ68" i="1" s="1"/>
  <c r="AM10" i="1"/>
  <c r="I67" i="1"/>
  <c r="I68" i="1" s="1"/>
  <c r="AN18" i="1"/>
  <c r="AN30" i="1"/>
  <c r="AN66" i="1"/>
  <c r="AN28" i="1"/>
  <c r="AN39" i="1"/>
  <c r="AI67" i="1"/>
  <c r="AI68" i="1" s="1"/>
  <c r="N10" i="1"/>
  <c r="N67" i="1" s="1"/>
  <c r="N68" i="1" s="1"/>
  <c r="N72" i="1" s="1"/>
  <c r="K68" i="1"/>
  <c r="C7" i="1"/>
  <c r="AG7" i="1" s="1"/>
  <c r="AN7" i="1" s="1"/>
  <c r="M208" i="4" l="1"/>
  <c r="AM67" i="1"/>
  <c r="AM68" i="1" s="1"/>
  <c r="R67" i="1"/>
  <c r="R68" i="1" s="1"/>
  <c r="R72" i="1" s="1"/>
  <c r="S67" i="1"/>
  <c r="S68" i="1" s="1"/>
  <c r="S72" i="1" s="1"/>
  <c r="U10" i="1"/>
  <c r="U67" i="1" s="1"/>
  <c r="U68" i="1" s="1"/>
  <c r="U72" i="1" s="1"/>
  <c r="D5" i="2"/>
  <c r="E5" i="2" s="1"/>
  <c r="AS66" i="1" l="1"/>
  <c r="F66" i="1"/>
  <c r="AS65" i="1"/>
  <c r="AA65" i="1"/>
  <c r="C65" i="1"/>
  <c r="AG65" i="1" s="1"/>
  <c r="AN65" i="1" s="1"/>
  <c r="AS64" i="1"/>
  <c r="AA64" i="1"/>
  <c r="C64" i="1"/>
  <c r="AG64" i="1" s="1"/>
  <c r="AN64" i="1" s="1"/>
  <c r="AS63" i="1"/>
  <c r="AA63" i="1"/>
  <c r="C63" i="1"/>
  <c r="AG63" i="1" s="1"/>
  <c r="AN63" i="1" s="1"/>
  <c r="AS62" i="1"/>
  <c r="AA62" i="1"/>
  <c r="C62" i="1"/>
  <c r="AG62" i="1" s="1"/>
  <c r="AN62" i="1" s="1"/>
  <c r="AS61" i="1"/>
  <c r="AA61" i="1"/>
  <c r="C61" i="1"/>
  <c r="AG61" i="1" s="1"/>
  <c r="AN61" i="1" s="1"/>
  <c r="AS60" i="1"/>
  <c r="AA60" i="1"/>
  <c r="C60" i="1"/>
  <c r="AG60" i="1" s="1"/>
  <c r="AN60" i="1" s="1"/>
  <c r="AS59" i="1"/>
  <c r="AA59" i="1"/>
  <c r="C59" i="1"/>
  <c r="AG59" i="1" s="1"/>
  <c r="AN59" i="1" s="1"/>
  <c r="AS58" i="1"/>
  <c r="AA58" i="1"/>
  <c r="C58" i="1"/>
  <c r="AG58" i="1" s="1"/>
  <c r="AN58" i="1" s="1"/>
  <c r="AS57" i="1"/>
  <c r="AA57" i="1"/>
  <c r="C57" i="1"/>
  <c r="AG57" i="1" s="1"/>
  <c r="AN57" i="1" s="1"/>
  <c r="AS56" i="1"/>
  <c r="AA56" i="1"/>
  <c r="C56" i="1"/>
  <c r="AG56" i="1" s="1"/>
  <c r="AN56" i="1" s="1"/>
  <c r="AS55" i="1"/>
  <c r="AA55" i="1"/>
  <c r="C55" i="1"/>
  <c r="AG55" i="1" s="1"/>
  <c r="AN55" i="1" s="1"/>
  <c r="AS54" i="1"/>
  <c r="AA54" i="1"/>
  <c r="C54" i="1"/>
  <c r="AG54" i="1" s="1"/>
  <c r="AN54" i="1" s="1"/>
  <c r="AS53" i="1"/>
  <c r="AA53" i="1"/>
  <c r="C53" i="1"/>
  <c r="AG53" i="1" s="1"/>
  <c r="AN53" i="1" s="1"/>
  <c r="AS52" i="1"/>
  <c r="AA52" i="1"/>
  <c r="C52" i="1"/>
  <c r="AG52" i="1" s="1"/>
  <c r="AN52" i="1" s="1"/>
  <c r="AS51" i="1"/>
  <c r="AA51" i="1"/>
  <c r="C51" i="1"/>
  <c r="AG51" i="1" s="1"/>
  <c r="AN51" i="1" s="1"/>
  <c r="AS50" i="1"/>
  <c r="AA50" i="1"/>
  <c r="C50" i="1"/>
  <c r="AG50" i="1" s="1"/>
  <c r="AN50" i="1" s="1"/>
  <c r="AS49" i="1"/>
  <c r="AA49" i="1"/>
  <c r="C49" i="1"/>
  <c r="AG49" i="1" s="1"/>
  <c r="AN49" i="1" s="1"/>
  <c r="AS48" i="1"/>
  <c r="AA48" i="1"/>
  <c r="C48" i="1"/>
  <c r="AG48" i="1" s="1"/>
  <c r="AN48" i="1" s="1"/>
  <c r="AS47" i="1"/>
  <c r="AA47" i="1"/>
  <c r="C47" i="1"/>
  <c r="AG47" i="1" s="1"/>
  <c r="AN47" i="1" s="1"/>
  <c r="AS46" i="1"/>
  <c r="AA46" i="1"/>
  <c r="C46" i="1"/>
  <c r="AG46" i="1" s="1"/>
  <c r="AN46" i="1" s="1"/>
  <c r="AS45" i="1"/>
  <c r="AA45" i="1"/>
  <c r="C45" i="1"/>
  <c r="AG45" i="1" s="1"/>
  <c r="AN45" i="1" s="1"/>
  <c r="AS44" i="1"/>
  <c r="AA44" i="1"/>
  <c r="C44" i="1"/>
  <c r="AG44" i="1" s="1"/>
  <c r="AN44" i="1" s="1"/>
  <c r="AS43" i="1"/>
  <c r="C43" i="1"/>
  <c r="AG43" i="1" s="1"/>
  <c r="AN43" i="1" s="1"/>
  <c r="AS42" i="1"/>
  <c r="C42" i="1"/>
  <c r="AG42" i="1" s="1"/>
  <c r="AN42" i="1" s="1"/>
  <c r="AS41" i="1"/>
  <c r="AA41" i="1"/>
  <c r="C41" i="1"/>
  <c r="AH41" i="1" s="1"/>
  <c r="AN41" i="1" s="1"/>
  <c r="AS40" i="1"/>
  <c r="AA40" i="1"/>
  <c r="C40" i="1"/>
  <c r="AG40" i="1" s="1"/>
  <c r="AN40" i="1" s="1"/>
  <c r="F39" i="1"/>
  <c r="AS38" i="1"/>
  <c r="C38" i="1"/>
  <c r="AG38" i="1" s="1"/>
  <c r="AN38" i="1" s="1"/>
  <c r="AS37" i="1"/>
  <c r="AA37" i="1"/>
  <c r="C37" i="1"/>
  <c r="AG37" i="1" s="1"/>
  <c r="AN37" i="1" s="1"/>
  <c r="AS36" i="1"/>
  <c r="AA36" i="1"/>
  <c r="C36" i="1"/>
  <c r="AG36" i="1" s="1"/>
  <c r="AN36" i="1" s="1"/>
  <c r="AS35" i="1"/>
  <c r="C35" i="1"/>
  <c r="AG35" i="1" s="1"/>
  <c r="AN35" i="1" s="1"/>
  <c r="AS34" i="1"/>
  <c r="C34" i="1"/>
  <c r="AG34" i="1" s="1"/>
  <c r="AN34" i="1" s="1"/>
  <c r="AS33" i="1"/>
  <c r="AA33" i="1"/>
  <c r="C33" i="1"/>
  <c r="AG33" i="1" s="1"/>
  <c r="AN33" i="1" s="1"/>
  <c r="AA32" i="1"/>
  <c r="C32" i="1"/>
  <c r="AG32" i="1" s="1"/>
  <c r="AN32" i="1" s="1"/>
  <c r="AS31" i="1"/>
  <c r="AA31" i="1"/>
  <c r="C31" i="1"/>
  <c r="AG31" i="1" s="1"/>
  <c r="AN31" i="1" s="1"/>
  <c r="F30" i="1"/>
  <c r="AS29" i="1"/>
  <c r="AA29" i="1"/>
  <c r="C29" i="1"/>
  <c r="AG29" i="1" s="1"/>
  <c r="AN29" i="1" s="1"/>
  <c r="F28" i="1"/>
  <c r="AS27" i="1"/>
  <c r="AA27" i="1"/>
  <c r="C27" i="1"/>
  <c r="AG27" i="1" s="1"/>
  <c r="AN27" i="1" s="1"/>
  <c r="AS26" i="1"/>
  <c r="AA26" i="1"/>
  <c r="C26" i="1"/>
  <c r="AG26" i="1" s="1"/>
  <c r="AN26" i="1" s="1"/>
  <c r="AS25" i="1"/>
  <c r="AA25" i="1"/>
  <c r="C25" i="1"/>
  <c r="AG25" i="1" s="1"/>
  <c r="AN25" i="1" s="1"/>
  <c r="AS24" i="1"/>
  <c r="AA24" i="1"/>
  <c r="C24" i="1"/>
  <c r="AG24" i="1" s="1"/>
  <c r="AN24" i="1" s="1"/>
  <c r="AS23" i="1"/>
  <c r="AA23" i="1"/>
  <c r="C23" i="1"/>
  <c r="AG23" i="1" s="1"/>
  <c r="AN23" i="1" s="1"/>
  <c r="C22" i="1"/>
  <c r="AH22" i="1" s="1"/>
  <c r="AN22" i="1" s="1"/>
  <c r="AS21" i="1"/>
  <c r="AA21" i="1"/>
  <c r="C21" i="1"/>
  <c r="AG21" i="1" s="1"/>
  <c r="AN21" i="1" s="1"/>
  <c r="AS20" i="1"/>
  <c r="AA20" i="1"/>
  <c r="C20" i="1"/>
  <c r="AH20" i="1" s="1"/>
  <c r="AN20" i="1" s="1"/>
  <c r="AA19" i="1"/>
  <c r="C19" i="1"/>
  <c r="AG19" i="1" s="1"/>
  <c r="AN19" i="1" s="1"/>
  <c r="F18" i="1"/>
  <c r="AS17" i="1"/>
  <c r="AA17" i="1"/>
  <c r="C17" i="1"/>
  <c r="AG17" i="1" s="1"/>
  <c r="AN17" i="1" s="1"/>
  <c r="AS16" i="1"/>
  <c r="AA16" i="1"/>
  <c r="C16" i="1"/>
  <c r="AG16" i="1" s="1"/>
  <c r="AN16" i="1" s="1"/>
  <c r="AS15" i="1"/>
  <c r="AA15" i="1"/>
  <c r="C15" i="1"/>
  <c r="AH15" i="1" s="1"/>
  <c r="AN15" i="1" s="1"/>
  <c r="AS14" i="1"/>
  <c r="AA14" i="1"/>
  <c r="C14" i="1"/>
  <c r="AH14" i="1" s="1"/>
  <c r="AN14" i="1" s="1"/>
  <c r="AS13" i="1"/>
  <c r="AA13" i="1"/>
  <c r="C13" i="1"/>
  <c r="AG13" i="1" s="1"/>
  <c r="AN13" i="1" s="1"/>
  <c r="AS12" i="1"/>
  <c r="AA12" i="1"/>
  <c r="C12" i="1"/>
  <c r="AG12" i="1" s="1"/>
  <c r="AN12" i="1" s="1"/>
  <c r="AS11" i="1"/>
  <c r="AA11" i="1"/>
  <c r="C11" i="1"/>
  <c r="AG11" i="1" s="1"/>
  <c r="AN11" i="1" s="1"/>
  <c r="AS10" i="1"/>
  <c r="AA10" i="1"/>
  <c r="C10" i="1"/>
  <c r="AG10" i="1" s="1"/>
  <c r="AS7" i="1"/>
  <c r="AA7" i="1"/>
  <c r="F7" i="1"/>
  <c r="D6" i="1"/>
  <c r="E6" i="1" s="1"/>
  <c r="F6" i="1" s="1"/>
  <c r="AG67" i="1" l="1"/>
  <c r="AG68" i="1" s="1"/>
  <c r="AN10" i="1"/>
  <c r="G6" i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A67" i="1"/>
  <c r="AA68" i="1" s="1"/>
  <c r="AA72" i="1" s="1"/>
  <c r="F40" i="1"/>
  <c r="F17" i="1"/>
  <c r="F24" i="1"/>
  <c r="F32" i="1"/>
  <c r="F37" i="1"/>
  <c r="F43" i="1"/>
  <c r="F50" i="1"/>
  <c r="F54" i="1"/>
  <c r="F20" i="1"/>
  <c r="F26" i="1"/>
  <c r="F41" i="1"/>
  <c r="F44" i="1"/>
  <c r="F48" i="1"/>
  <c r="F52" i="1"/>
  <c r="F56" i="1"/>
  <c r="F13" i="1"/>
  <c r="F25" i="1"/>
  <c r="F35" i="1"/>
  <c r="F38" i="1"/>
  <c r="F47" i="1"/>
  <c r="F51" i="1"/>
  <c r="F55" i="1"/>
  <c r="F19" i="1"/>
  <c r="F22" i="1"/>
  <c r="F46" i="1"/>
  <c r="F11" i="1"/>
  <c r="F15" i="1"/>
  <c r="F21" i="1"/>
  <c r="F23" i="1"/>
  <c r="F27" i="1"/>
  <c r="F29" i="1"/>
  <c r="F31" i="1"/>
  <c r="F36" i="1"/>
  <c r="F42" i="1"/>
  <c r="F45" i="1"/>
  <c r="F49" i="1"/>
  <c r="F53" i="1"/>
  <c r="F57" i="1"/>
  <c r="F65" i="1"/>
  <c r="C67" i="1"/>
  <c r="C68" i="1" s="1"/>
  <c r="C72" i="1" s="1"/>
  <c r="F33" i="1"/>
  <c r="F59" i="1"/>
  <c r="F10" i="1"/>
  <c r="F12" i="1"/>
  <c r="F14" i="1"/>
  <c r="F16" i="1"/>
  <c r="F61" i="1"/>
  <c r="F63" i="1"/>
  <c r="AS67" i="1"/>
  <c r="AS68" i="1" s="1"/>
  <c r="F34" i="1"/>
  <c r="F58" i="1"/>
  <c r="F60" i="1"/>
  <c r="F62" i="1"/>
  <c r="F64" i="1"/>
  <c r="AH6" i="1" l="1"/>
  <c r="AP31" i="1"/>
  <c r="AO15" i="1"/>
  <c r="AP15" i="1"/>
  <c r="F67" i="1"/>
  <c r="F68" i="1" s="1"/>
  <c r="F72" i="1" s="1"/>
  <c r="AI6" i="1" l="1"/>
  <c r="AJ6" i="1" s="1"/>
  <c r="AK6" i="1" s="1"/>
  <c r="AL6" i="1" s="1"/>
  <c r="AM6" i="1" s="1"/>
  <c r="AN6" i="1" s="1"/>
  <c r="AO6" i="1" s="1"/>
  <c r="AP6" i="1" s="1"/>
  <c r="AQ6" i="1" s="1"/>
  <c r="AR6" i="1" s="1"/>
  <c r="AS6" i="1" s="1"/>
  <c r="AO31" i="1"/>
  <c r="AP11" i="1"/>
  <c r="AP19" i="1"/>
  <c r="AP40" i="1"/>
  <c r="AP17" i="1"/>
  <c r="AP66" i="1"/>
  <c r="AP55" i="1"/>
  <c r="AO53" i="1"/>
  <c r="AP51" i="1"/>
  <c r="AO49" i="1"/>
  <c r="AP47" i="1"/>
  <c r="AO45" i="1"/>
  <c r="AP43" i="1"/>
  <c r="AP64" i="1"/>
  <c r="AO62" i="1"/>
  <c r="AP60" i="1"/>
  <c r="AO58" i="1"/>
  <c r="AP38" i="1"/>
  <c r="AO36" i="1"/>
  <c r="AP30" i="1"/>
  <c r="AP33" i="1"/>
  <c r="AO42" i="1"/>
  <c r="AO27" i="1"/>
  <c r="AO25" i="1"/>
  <c r="AP23" i="1"/>
  <c r="AO34" i="1"/>
  <c r="AP22" i="1"/>
  <c r="AP32" i="1"/>
  <c r="AP14" i="1"/>
  <c r="AP12" i="1"/>
  <c r="AP57" i="1"/>
  <c r="AP37" i="1"/>
  <c r="AP35" i="1"/>
  <c r="AP39" i="1"/>
  <c r="AP29" i="1"/>
  <c r="AO28" i="1"/>
  <c r="AO26" i="1"/>
  <c r="AP24" i="1"/>
  <c r="AO18" i="1"/>
  <c r="AO16" i="1"/>
  <c r="AQ31" i="1"/>
  <c r="AR31" i="1" s="1"/>
  <c r="AO21" i="1"/>
  <c r="AP13" i="1"/>
  <c r="AO20" i="1"/>
  <c r="AP20" i="1"/>
  <c r="AH67" i="1"/>
  <c r="AO37" i="1"/>
  <c r="AQ15" i="1"/>
  <c r="AR15" i="1" s="1"/>
  <c r="AU15" i="1" s="1"/>
  <c r="AW15" i="1" s="1"/>
  <c r="AX15" i="1" s="1"/>
  <c r="AO11" i="1"/>
  <c r="AO66" i="1"/>
  <c r="AP49" i="1"/>
  <c r="AO64" i="1"/>
  <c r="AO38" i="1"/>
  <c r="AP42" i="1"/>
  <c r="AP21" i="1"/>
  <c r="AP59" i="1"/>
  <c r="AO59" i="1"/>
  <c r="AU31" i="1" l="1"/>
  <c r="AW31" i="1" s="1"/>
  <c r="AX31" i="1" s="1"/>
  <c r="AP34" i="1"/>
  <c r="AQ34" i="1" s="1"/>
  <c r="AR34" i="1" s="1"/>
  <c r="AU34" i="1" s="1"/>
  <c r="AW34" i="1" s="1"/>
  <c r="AX34" i="1" s="1"/>
  <c r="AO30" i="1"/>
  <c r="AQ30" i="1" s="1"/>
  <c r="AR30" i="1" s="1"/>
  <c r="AU30" i="1" s="1"/>
  <c r="AW30" i="1" s="1"/>
  <c r="AX30" i="1" s="1"/>
  <c r="AO60" i="1"/>
  <c r="AQ60" i="1" s="1"/>
  <c r="AR60" i="1" s="1"/>
  <c r="AU60" i="1" s="1"/>
  <c r="AW60" i="1" s="1"/>
  <c r="AX60" i="1" s="1"/>
  <c r="AP45" i="1"/>
  <c r="AQ45" i="1" s="1"/>
  <c r="AR45" i="1" s="1"/>
  <c r="AU45" i="1" s="1"/>
  <c r="AW45" i="1" s="1"/>
  <c r="AX45" i="1" s="1"/>
  <c r="AP53" i="1"/>
  <c r="AO40" i="1"/>
  <c r="AQ40" i="1" s="1"/>
  <c r="AR40" i="1" s="1"/>
  <c r="AU40" i="1" s="1"/>
  <c r="AW40" i="1" s="1"/>
  <c r="AX40" i="1" s="1"/>
  <c r="AO12" i="1"/>
  <c r="AQ12" i="1" s="1"/>
  <c r="AR12" i="1" s="1"/>
  <c r="AU12" i="1" s="1"/>
  <c r="AW12" i="1" s="1"/>
  <c r="AX12" i="1" s="1"/>
  <c r="AO22" i="1"/>
  <c r="AQ22" i="1" s="1"/>
  <c r="AR22" i="1" s="1"/>
  <c r="AU22" i="1" s="1"/>
  <c r="AW22" i="1" s="1"/>
  <c r="AX22" i="1" s="1"/>
  <c r="AP36" i="1"/>
  <c r="AQ36" i="1" s="1"/>
  <c r="AR36" i="1" s="1"/>
  <c r="AO51" i="1"/>
  <c r="AQ51" i="1" s="1"/>
  <c r="AR51" i="1" s="1"/>
  <c r="AU51" i="1" s="1"/>
  <c r="AW51" i="1" s="1"/>
  <c r="AX51" i="1" s="1"/>
  <c r="AP16" i="1"/>
  <c r="AQ16" i="1" s="1"/>
  <c r="AR16" i="1" s="1"/>
  <c r="AU16" i="1" s="1"/>
  <c r="AW16" i="1" s="1"/>
  <c r="AX16" i="1" s="1"/>
  <c r="AO24" i="1"/>
  <c r="AQ24" i="1" s="1"/>
  <c r="AR24" i="1" s="1"/>
  <c r="AO43" i="1"/>
  <c r="AQ43" i="1" s="1"/>
  <c r="AR43" i="1" s="1"/>
  <c r="AO17" i="1"/>
  <c r="AQ17" i="1" s="1"/>
  <c r="AR17" i="1" s="1"/>
  <c r="AP62" i="1"/>
  <c r="AQ62" i="1" s="1"/>
  <c r="AR62" i="1" s="1"/>
  <c r="AO47" i="1"/>
  <c r="AQ47" i="1" s="1"/>
  <c r="AR47" i="1" s="1"/>
  <c r="AO55" i="1"/>
  <c r="AQ55" i="1" s="1"/>
  <c r="AR55" i="1" s="1"/>
  <c r="AU55" i="1" s="1"/>
  <c r="AW55" i="1" s="1"/>
  <c r="AX55" i="1" s="1"/>
  <c r="AO19" i="1"/>
  <c r="AQ19" i="1" s="1"/>
  <c r="AR19" i="1" s="1"/>
  <c r="AU19" i="1" s="1"/>
  <c r="AW19" i="1" s="1"/>
  <c r="AX19" i="1" s="1"/>
  <c r="AO14" i="1"/>
  <c r="AQ14" i="1" s="1"/>
  <c r="AR14" i="1" s="1"/>
  <c r="AU14" i="1" s="1"/>
  <c r="AW14" i="1" s="1"/>
  <c r="AX14" i="1" s="1"/>
  <c r="AP27" i="1"/>
  <c r="AQ27" i="1" s="1"/>
  <c r="AR27" i="1" s="1"/>
  <c r="AO33" i="1"/>
  <c r="AQ33" i="1" s="1"/>
  <c r="AR33" i="1" s="1"/>
  <c r="AU33" i="1" s="1"/>
  <c r="AW33" i="1" s="1"/>
  <c r="AX33" i="1" s="1"/>
  <c r="AP58" i="1"/>
  <c r="AQ58" i="1" s="1"/>
  <c r="AR58" i="1" s="1"/>
  <c r="AU58" i="1" s="1"/>
  <c r="AW58" i="1" s="1"/>
  <c r="AX58" i="1" s="1"/>
  <c r="AO23" i="1"/>
  <c r="AQ23" i="1" s="1"/>
  <c r="AR23" i="1" s="1"/>
  <c r="AU23" i="1" s="1"/>
  <c r="AW23" i="1" s="1"/>
  <c r="AX23" i="1" s="1"/>
  <c r="AO39" i="1"/>
  <c r="AQ39" i="1" s="1"/>
  <c r="AR39" i="1" s="1"/>
  <c r="AU39" i="1" s="1"/>
  <c r="AW39" i="1" s="1"/>
  <c r="AX39" i="1" s="1"/>
  <c r="AO32" i="1"/>
  <c r="AQ32" i="1" s="1"/>
  <c r="AR32" i="1" s="1"/>
  <c r="AU32" i="1" s="1"/>
  <c r="AW32" i="1" s="1"/>
  <c r="AX32" i="1" s="1"/>
  <c r="AP25" i="1"/>
  <c r="AQ25" i="1" s="1"/>
  <c r="AR25" i="1" s="1"/>
  <c r="AP28" i="1"/>
  <c r="AQ28" i="1" s="1"/>
  <c r="AR28" i="1" s="1"/>
  <c r="AU28" i="1" s="1"/>
  <c r="AW28" i="1" s="1"/>
  <c r="AX28" i="1" s="1"/>
  <c r="AO13" i="1"/>
  <c r="AQ13" i="1" s="1"/>
  <c r="AR13" i="1" s="1"/>
  <c r="AU13" i="1" s="1"/>
  <c r="AW13" i="1" s="1"/>
  <c r="AX13" i="1" s="1"/>
  <c r="AP26" i="1"/>
  <c r="AQ26" i="1" s="1"/>
  <c r="AR26" i="1" s="1"/>
  <c r="AU26" i="1" s="1"/>
  <c r="AW26" i="1" s="1"/>
  <c r="AX26" i="1" s="1"/>
  <c r="AO29" i="1"/>
  <c r="AQ29" i="1" s="1"/>
  <c r="AR29" i="1" s="1"/>
  <c r="AO35" i="1"/>
  <c r="AQ35" i="1" s="1"/>
  <c r="AR35" i="1" s="1"/>
  <c r="AU35" i="1" s="1"/>
  <c r="AW35" i="1" s="1"/>
  <c r="AX35" i="1" s="1"/>
  <c r="AO57" i="1"/>
  <c r="AQ57" i="1" s="1"/>
  <c r="AR57" i="1" s="1"/>
  <c r="AP18" i="1"/>
  <c r="AQ18" i="1" s="1"/>
  <c r="AR18" i="1" s="1"/>
  <c r="AU18" i="1" s="1"/>
  <c r="AW18" i="1" s="1"/>
  <c r="AX18" i="1" s="1"/>
  <c r="AN67" i="1"/>
  <c r="AQ59" i="1"/>
  <c r="AR59" i="1" s="1"/>
  <c r="AU59" i="1" s="1"/>
  <c r="AW59" i="1" s="1"/>
  <c r="AX59" i="1" s="1"/>
  <c r="AQ21" i="1"/>
  <c r="AR21" i="1" s="1"/>
  <c r="AQ49" i="1"/>
  <c r="AR49" i="1" s="1"/>
  <c r="AU49" i="1" s="1"/>
  <c r="AW49" i="1" s="1"/>
  <c r="AX49" i="1" s="1"/>
  <c r="AQ53" i="1"/>
  <c r="AR53" i="1" s="1"/>
  <c r="AU53" i="1" s="1"/>
  <c r="AW53" i="1" s="1"/>
  <c r="AX53" i="1" s="1"/>
  <c r="AQ20" i="1"/>
  <c r="AR20" i="1" s="1"/>
  <c r="AU20" i="1" s="1"/>
  <c r="AW20" i="1" s="1"/>
  <c r="AX20" i="1" s="1"/>
  <c r="AP63" i="1"/>
  <c r="AO63" i="1"/>
  <c r="AO44" i="1"/>
  <c r="AP44" i="1"/>
  <c r="AO48" i="1"/>
  <c r="AP48" i="1"/>
  <c r="AO52" i="1"/>
  <c r="AP52" i="1"/>
  <c r="AO56" i="1"/>
  <c r="AP56" i="1"/>
  <c r="AQ42" i="1"/>
  <c r="AR42" i="1" s="1"/>
  <c r="AU42" i="1" s="1"/>
  <c r="AW42" i="1" s="1"/>
  <c r="AX42" i="1" s="1"/>
  <c r="AQ38" i="1"/>
  <c r="AR38" i="1" s="1"/>
  <c r="AU38" i="1" s="1"/>
  <c r="AW38" i="1" s="1"/>
  <c r="AX38" i="1" s="1"/>
  <c r="AQ64" i="1"/>
  <c r="AR64" i="1" s="1"/>
  <c r="AU64" i="1" s="1"/>
  <c r="AW64" i="1" s="1"/>
  <c r="AX64" i="1" s="1"/>
  <c r="AQ66" i="1"/>
  <c r="AR66" i="1" s="1"/>
  <c r="AU66" i="1" s="1"/>
  <c r="AW66" i="1" s="1"/>
  <c r="AX66" i="1" s="1"/>
  <c r="AQ11" i="1"/>
  <c r="AR11" i="1" s="1"/>
  <c r="AU11" i="1" s="1"/>
  <c r="AW11" i="1" s="1"/>
  <c r="AX11" i="1" s="1"/>
  <c r="AQ37" i="1"/>
  <c r="AR37" i="1" s="1"/>
  <c r="AU37" i="1" s="1"/>
  <c r="AW37" i="1" s="1"/>
  <c r="AX37" i="1" s="1"/>
  <c r="AP61" i="1"/>
  <c r="AO61" i="1"/>
  <c r="AP65" i="1"/>
  <c r="AO65" i="1"/>
  <c r="AO46" i="1"/>
  <c r="AP46" i="1"/>
  <c r="AO50" i="1"/>
  <c r="AP50" i="1"/>
  <c r="AO54" i="1"/>
  <c r="AP54" i="1"/>
  <c r="AP10" i="1"/>
  <c r="AO10" i="1"/>
  <c r="D11" i="2"/>
  <c r="D27" i="2" l="1"/>
  <c r="AU17" i="1"/>
  <c r="AW17" i="1" s="1"/>
  <c r="AX17" i="1" s="1"/>
  <c r="AU24" i="1"/>
  <c r="AW24" i="1" s="1"/>
  <c r="AX24" i="1" s="1"/>
  <c r="AU21" i="1"/>
  <c r="AW21" i="1" s="1"/>
  <c r="AX21" i="1" s="1"/>
  <c r="AU57" i="1"/>
  <c r="AW57" i="1" s="1"/>
  <c r="AX57" i="1" s="1"/>
  <c r="AU29" i="1"/>
  <c r="AW29" i="1" s="1"/>
  <c r="AX29" i="1" s="1"/>
  <c r="AU25" i="1"/>
  <c r="AW25" i="1" s="1"/>
  <c r="AX25" i="1" s="1"/>
  <c r="AU27" i="1"/>
  <c r="AW27" i="1" s="1"/>
  <c r="AX27" i="1" s="1"/>
  <c r="AU47" i="1"/>
  <c r="AW47" i="1" s="1"/>
  <c r="AX47" i="1" s="1"/>
  <c r="AU62" i="1"/>
  <c r="AW62" i="1" s="1"/>
  <c r="AX62" i="1" s="1"/>
  <c r="AU43" i="1"/>
  <c r="AW43" i="1" s="1"/>
  <c r="AX43" i="1" s="1"/>
  <c r="AU36" i="1"/>
  <c r="AW36" i="1" s="1"/>
  <c r="AX36" i="1" s="1"/>
  <c r="AP41" i="1"/>
  <c r="AP67" i="1" s="1"/>
  <c r="AP68" i="1" s="1"/>
  <c r="D8" i="2"/>
  <c r="D38" i="2"/>
  <c r="D54" i="2"/>
  <c r="D19" i="2"/>
  <c r="D9" i="2"/>
  <c r="D47" i="2"/>
  <c r="AO41" i="1"/>
  <c r="AO67" i="1" s="1"/>
  <c r="AO7" i="1" s="1"/>
  <c r="AQ7" i="1" s="1"/>
  <c r="AR7" i="1" s="1"/>
  <c r="AU7" i="1" s="1"/>
  <c r="AW7" i="1" s="1"/>
  <c r="AX7" i="1" s="1"/>
  <c r="D33" i="2"/>
  <c r="D12" i="2"/>
  <c r="AQ65" i="1"/>
  <c r="AR65" i="1" s="1"/>
  <c r="AQ61" i="1"/>
  <c r="AR61" i="1" s="1"/>
  <c r="AU61" i="1" s="1"/>
  <c r="AW61" i="1" s="1"/>
  <c r="AX61" i="1" s="1"/>
  <c r="AQ63" i="1"/>
  <c r="AR63" i="1" s="1"/>
  <c r="D22" i="2"/>
  <c r="D30" i="2"/>
  <c r="D29" i="2"/>
  <c r="D45" i="2"/>
  <c r="D14" i="2"/>
  <c r="D31" i="2"/>
  <c r="D18" i="2"/>
  <c r="D15" i="2"/>
  <c r="D35" i="2"/>
  <c r="D26" i="2"/>
  <c r="D36" i="2"/>
  <c r="D49" i="2"/>
  <c r="D56" i="2"/>
  <c r="D60" i="2"/>
  <c r="D7" i="2"/>
  <c r="D55" i="2"/>
  <c r="D16" i="2"/>
  <c r="D10" i="2"/>
  <c r="D41" i="2"/>
  <c r="D34" i="2"/>
  <c r="D28" i="2"/>
  <c r="D62" i="2"/>
  <c r="D24" i="2"/>
  <c r="D51" i="2"/>
  <c r="AQ10" i="1"/>
  <c r="AQ54" i="1"/>
  <c r="AR54" i="1" s="1"/>
  <c r="AU54" i="1" s="1"/>
  <c r="AW54" i="1" s="1"/>
  <c r="AX54" i="1" s="1"/>
  <c r="AQ50" i="1"/>
  <c r="AR50" i="1" s="1"/>
  <c r="AU50" i="1" s="1"/>
  <c r="AW50" i="1" s="1"/>
  <c r="AX50" i="1" s="1"/>
  <c r="AQ46" i="1"/>
  <c r="AR46" i="1" s="1"/>
  <c r="AU46" i="1" s="1"/>
  <c r="AW46" i="1" s="1"/>
  <c r="AX46" i="1" s="1"/>
  <c r="AQ56" i="1"/>
  <c r="AR56" i="1" s="1"/>
  <c r="AU56" i="1" s="1"/>
  <c r="AW56" i="1" s="1"/>
  <c r="AX56" i="1" s="1"/>
  <c r="AQ52" i="1"/>
  <c r="AR52" i="1" s="1"/>
  <c r="AU52" i="1" s="1"/>
  <c r="AW52" i="1" s="1"/>
  <c r="AX52" i="1" s="1"/>
  <c r="AQ48" i="1"/>
  <c r="AR48" i="1" s="1"/>
  <c r="AU48" i="1" s="1"/>
  <c r="AW48" i="1" s="1"/>
  <c r="AX48" i="1" s="1"/>
  <c r="AQ44" i="1"/>
  <c r="AR44" i="1" s="1"/>
  <c r="AU44" i="1" s="1"/>
  <c r="AW44" i="1" s="1"/>
  <c r="AX44" i="1" s="1"/>
  <c r="D32" i="2" l="1"/>
  <c r="D39" i="2"/>
  <c r="D58" i="2"/>
  <c r="D43" i="2"/>
  <c r="D23" i="2"/>
  <c r="D21" i="2"/>
  <c r="D25" i="2"/>
  <c r="D53" i="2"/>
  <c r="D17" i="2"/>
  <c r="D20" i="2"/>
  <c r="D13" i="2"/>
  <c r="AU63" i="1"/>
  <c r="AW63" i="1" s="1"/>
  <c r="AX63" i="1" s="1"/>
  <c r="AU65" i="1"/>
  <c r="AW65" i="1" s="1"/>
  <c r="AX65" i="1" s="1"/>
  <c r="AP70" i="1"/>
  <c r="AP76" i="1"/>
  <c r="AQ41" i="1"/>
  <c r="AR41" i="1" s="1"/>
  <c r="AU41" i="1" s="1"/>
  <c r="AW41" i="1" s="1"/>
  <c r="AX41" i="1" s="1"/>
  <c r="D57" i="2"/>
  <c r="AO68" i="1"/>
  <c r="D52" i="2"/>
  <c r="D46" i="2"/>
  <c r="D44" i="2"/>
  <c r="D40" i="2"/>
  <c r="D48" i="2"/>
  <c r="D42" i="2"/>
  <c r="D50" i="2"/>
  <c r="AR10" i="1"/>
  <c r="AU10" i="1" s="1"/>
  <c r="AW10" i="1" s="1"/>
  <c r="D61" i="2" l="1"/>
  <c r="D59" i="2"/>
  <c r="AX10" i="1"/>
  <c r="AW67" i="1"/>
  <c r="AW68" i="1" s="1"/>
  <c r="D37" i="2"/>
  <c r="AQ67" i="1"/>
  <c r="AQ68" i="1" s="1"/>
  <c r="AQ70" i="1" s="1"/>
  <c r="AR70" i="1" s="1"/>
  <c r="AR67" i="1"/>
  <c r="AX67" i="1" l="1"/>
  <c r="AX68" i="1" s="1"/>
  <c r="D6" i="2"/>
  <c r="D63" i="2" s="1"/>
  <c r="AU67" i="1"/>
  <c r="AU70" i="1"/>
  <c r="AW70" i="1" s="1"/>
  <c r="AW72" i="1" s="1"/>
  <c r="BA51" i="1" l="1"/>
  <c r="BB51" i="1" s="1"/>
  <c r="BC51" i="1" s="1"/>
  <c r="BA3" i="1"/>
  <c r="BA10" i="1" s="1"/>
  <c r="BA64" i="1"/>
  <c r="BB64" i="1" s="1"/>
  <c r="BC64" i="1" s="1"/>
  <c r="BA52" i="1"/>
  <c r="BB52" i="1" s="1"/>
  <c r="BC52" i="1" s="1"/>
  <c r="BA63" i="1"/>
  <c r="BB63" i="1" s="1"/>
  <c r="BC63" i="1" s="1"/>
  <c r="BA62" i="1"/>
  <c r="BB62" i="1" s="1"/>
  <c r="BC62" i="1" s="1"/>
  <c r="BA57" i="1"/>
  <c r="BB57" i="1" s="1"/>
  <c r="BC57" i="1" s="1"/>
  <c r="BA60" i="1"/>
  <c r="BA58" i="1"/>
  <c r="BB58" i="1" s="1"/>
  <c r="BC58" i="1" s="1"/>
  <c r="BA53" i="1"/>
  <c r="BA54" i="1"/>
  <c r="BA65" i="1"/>
  <c r="BB65" i="1" s="1"/>
  <c r="BC65" i="1" s="1"/>
  <c r="BA55" i="1"/>
  <c r="BB55" i="1" s="1"/>
  <c r="BC55" i="1" s="1"/>
  <c r="BA15" i="1"/>
  <c r="BA14" i="1"/>
  <c r="BA40" i="1"/>
  <c r="BA12" i="1"/>
  <c r="BA28" i="1"/>
  <c r="BB28" i="1" s="1"/>
  <c r="BC28" i="1" s="1"/>
  <c r="BA42" i="1"/>
  <c r="BB42" i="1" s="1"/>
  <c r="BC42" i="1" s="1"/>
  <c r="BA22" i="1"/>
  <c r="BA37" i="1"/>
  <c r="BB37" i="1" s="1"/>
  <c r="BC37" i="1" s="1"/>
  <c r="BA18" i="1"/>
  <c r="BB18" i="1" s="1"/>
  <c r="BC18" i="1" s="1"/>
  <c r="BA32" i="1"/>
  <c r="BA39" i="1"/>
  <c r="BB39" i="1" s="1"/>
  <c r="BC39" i="1" s="1"/>
  <c r="BA26" i="1"/>
  <c r="BB26" i="1" s="1"/>
  <c r="BC26" i="1" s="1"/>
  <c r="BA16" i="1"/>
  <c r="BA13" i="1"/>
  <c r="BA31" i="1"/>
  <c r="BA19" i="1"/>
  <c r="BB19" i="1" s="1"/>
  <c r="BC19" i="1" s="1"/>
  <c r="BA23" i="1"/>
  <c r="BA34" i="1"/>
  <c r="BA11" i="1"/>
  <c r="BB11" i="1" s="1"/>
  <c r="BC11" i="1" s="1"/>
  <c r="BA45" i="1"/>
  <c r="BB45" i="1" s="1"/>
  <c r="BC45" i="1" s="1"/>
  <c r="BA20" i="1"/>
  <c r="BB20" i="1" s="1"/>
  <c r="BC20" i="1" s="1"/>
  <c r="BA49" i="1"/>
  <c r="BA30" i="1"/>
  <c r="BB30" i="1" s="1"/>
  <c r="BC30" i="1" s="1"/>
  <c r="BA35" i="1"/>
  <c r="BA38" i="1"/>
  <c r="BB38" i="1" s="1"/>
  <c r="BC38" i="1" s="1"/>
  <c r="BA33" i="1"/>
  <c r="BB33" i="1" s="1"/>
  <c r="BC33" i="1" s="1"/>
  <c r="BA48" i="1"/>
  <c r="BB48" i="1" s="1"/>
  <c r="BC48" i="1" s="1"/>
  <c r="BA43" i="1"/>
  <c r="BB43" i="1" s="1"/>
  <c r="BC43" i="1" s="1"/>
  <c r="BA29" i="1"/>
  <c r="BA46" i="1"/>
  <c r="BA17" i="1"/>
  <c r="BA21" i="1"/>
  <c r="BA27" i="1"/>
  <c r="BB27" i="1" s="1"/>
  <c r="BC27" i="1" s="1"/>
  <c r="BA44" i="1"/>
  <c r="BA7" i="1"/>
  <c r="BA24" i="1"/>
  <c r="BB24" i="1" s="1"/>
  <c r="BC24" i="1" s="1"/>
  <c r="BA36" i="1"/>
  <c r="BA25" i="1"/>
  <c r="BB25" i="1" s="1"/>
  <c r="BC25" i="1" s="1"/>
  <c r="BA47" i="1"/>
  <c r="BB47" i="1" s="1"/>
  <c r="BC47" i="1" s="1"/>
  <c r="BA41" i="1"/>
  <c r="D4" i="2"/>
  <c r="BA61" i="1" l="1"/>
  <c r="BB61" i="1" s="1"/>
  <c r="BC61" i="1" s="1"/>
  <c r="BA50" i="1"/>
  <c r="BB50" i="1" s="1"/>
  <c r="BC50" i="1" s="1"/>
  <c r="BA66" i="1"/>
  <c r="BB66" i="1" s="1"/>
  <c r="BC66" i="1" s="1"/>
  <c r="BA56" i="1"/>
  <c r="BB56" i="1" s="1"/>
  <c r="BC56" i="1" s="1"/>
  <c r="BA59" i="1"/>
  <c r="BB59" i="1" s="1"/>
  <c r="BC59" i="1" s="1"/>
  <c r="BB7" i="1"/>
  <c r="BC7" i="1" s="1"/>
  <c r="BB17" i="1"/>
  <c r="BC17" i="1" s="1"/>
  <c r="BB31" i="1"/>
  <c r="BC31" i="1" s="1"/>
  <c r="BB22" i="1"/>
  <c r="BC22" i="1" s="1"/>
  <c r="BB40" i="1"/>
  <c r="BC40" i="1" s="1"/>
  <c r="BB60" i="1"/>
  <c r="BC60" i="1" s="1"/>
  <c r="BB44" i="1"/>
  <c r="BC44" i="1" s="1"/>
  <c r="BB46" i="1"/>
  <c r="BC46" i="1" s="1"/>
  <c r="BB49" i="1"/>
  <c r="BC49" i="1" s="1"/>
  <c r="BB34" i="1"/>
  <c r="BC34" i="1" s="1"/>
  <c r="BB13" i="1"/>
  <c r="BC13" i="1" s="1"/>
  <c r="BB32" i="1"/>
  <c r="BC32" i="1" s="1"/>
  <c r="BB14" i="1"/>
  <c r="BC14" i="1" s="1"/>
  <c r="BB54" i="1"/>
  <c r="BC54" i="1" s="1"/>
  <c r="BB36" i="1"/>
  <c r="BC36" i="1" s="1"/>
  <c r="BB29" i="1"/>
  <c r="BC29" i="1" s="1"/>
  <c r="BB23" i="1"/>
  <c r="BC23" i="1" s="1"/>
  <c r="BB16" i="1"/>
  <c r="BC16" i="1" s="1"/>
  <c r="BB15" i="1"/>
  <c r="BC15" i="1" s="1"/>
  <c r="BB53" i="1"/>
  <c r="BC53" i="1" s="1"/>
  <c r="BB41" i="1"/>
  <c r="BC41" i="1" s="1"/>
  <c r="BB21" i="1"/>
  <c r="BC21" i="1" s="1"/>
  <c r="BB35" i="1"/>
  <c r="BC35" i="1" s="1"/>
  <c r="BB12" i="1"/>
  <c r="BC12" i="1" s="1"/>
  <c r="BB10" i="1"/>
  <c r="D7" i="1"/>
  <c r="G7" i="1" s="1"/>
  <c r="O7" i="1" s="1"/>
  <c r="V7" i="1" s="1"/>
  <c r="D39" i="1"/>
  <c r="D66" i="1"/>
  <c r="D28" i="1"/>
  <c r="D30" i="1"/>
  <c r="D18" i="1"/>
  <c r="D14" i="1"/>
  <c r="D40" i="1"/>
  <c r="D24" i="1"/>
  <c r="D37" i="1"/>
  <c r="D50" i="1"/>
  <c r="D20" i="1"/>
  <c r="D41" i="1"/>
  <c r="D48" i="1"/>
  <c r="D56" i="1"/>
  <c r="D25" i="1"/>
  <c r="D38" i="1"/>
  <c r="D51" i="1"/>
  <c r="D19" i="1"/>
  <c r="D46" i="1"/>
  <c r="D15" i="1"/>
  <c r="D23" i="1"/>
  <c r="D29" i="1"/>
  <c r="D36" i="1"/>
  <c r="D45" i="1"/>
  <c r="D53" i="1"/>
  <c r="D62" i="1"/>
  <c r="D64" i="1"/>
  <c r="D60" i="1"/>
  <c r="D59" i="1"/>
  <c r="D33" i="1"/>
  <c r="D12" i="1"/>
  <c r="D57" i="1"/>
  <c r="D34" i="1"/>
  <c r="D16" i="1"/>
  <c r="D63" i="1"/>
  <c r="D58" i="1"/>
  <c r="D61" i="1"/>
  <c r="D17" i="1"/>
  <c r="D32" i="1"/>
  <c r="D43" i="1"/>
  <c r="D54" i="1"/>
  <c r="D26" i="1"/>
  <c r="D44" i="1"/>
  <c r="D52" i="1"/>
  <c r="D13" i="1"/>
  <c r="D35" i="1"/>
  <c r="D47" i="1"/>
  <c r="D55" i="1"/>
  <c r="D22" i="1"/>
  <c r="D11" i="1"/>
  <c r="D21" i="1"/>
  <c r="D27" i="1"/>
  <c r="D31" i="1"/>
  <c r="D42" i="1"/>
  <c r="D49" i="1"/>
  <c r="D10" i="1"/>
  <c r="G10" i="1" s="1"/>
  <c r="O10" i="1" s="1"/>
  <c r="V10" i="1" s="1"/>
  <c r="D65" i="1"/>
  <c r="BA67" i="1" l="1"/>
  <c r="BA68" i="1" s="1"/>
  <c r="BC10" i="1"/>
  <c r="BC67" i="1" s="1"/>
  <c r="BC68" i="1" s="1"/>
  <c r="BB67" i="1"/>
  <c r="BB68" i="1" s="1"/>
  <c r="X10" i="1"/>
  <c r="W10" i="1"/>
  <c r="G42" i="1"/>
  <c r="G27" i="1"/>
  <c r="O27" i="1" s="1"/>
  <c r="G55" i="1"/>
  <c r="G52" i="1"/>
  <c r="O52" i="1" s="1"/>
  <c r="G26" i="1"/>
  <c r="G17" i="1"/>
  <c r="O17" i="1" s="1"/>
  <c r="G58" i="1"/>
  <c r="G57" i="1"/>
  <c r="O57" i="1" s="1"/>
  <c r="G60" i="1"/>
  <c r="G62" i="1"/>
  <c r="O62" i="1" s="1"/>
  <c r="G29" i="1"/>
  <c r="G15" i="1"/>
  <c r="O15" i="1" s="1"/>
  <c r="G38" i="1"/>
  <c r="G56" i="1"/>
  <c r="O56" i="1" s="1"/>
  <c r="G50" i="1"/>
  <c r="G24" i="1"/>
  <c r="O24" i="1" s="1"/>
  <c r="G14" i="1"/>
  <c r="G30" i="1"/>
  <c r="O30" i="1" s="1"/>
  <c r="G65" i="1"/>
  <c r="G49" i="1"/>
  <c r="G31" i="1"/>
  <c r="G21" i="1"/>
  <c r="G22" i="1"/>
  <c r="G47" i="1"/>
  <c r="G13" i="1"/>
  <c r="G44" i="1"/>
  <c r="G54" i="1"/>
  <c r="G32" i="1"/>
  <c r="G61" i="1"/>
  <c r="G63" i="1"/>
  <c r="G34" i="1"/>
  <c r="G12" i="1"/>
  <c r="G59" i="1"/>
  <c r="G64" i="1"/>
  <c r="G53" i="1"/>
  <c r="G36" i="1"/>
  <c r="G23" i="1"/>
  <c r="G46" i="1"/>
  <c r="G51" i="1"/>
  <c r="G25" i="1"/>
  <c r="G48" i="1"/>
  <c r="G20" i="1"/>
  <c r="G37" i="1"/>
  <c r="G40" i="1"/>
  <c r="G18" i="1"/>
  <c r="G28" i="1"/>
  <c r="G39" i="1"/>
  <c r="G11" i="1"/>
  <c r="O11" i="1" s="1"/>
  <c r="G35" i="1"/>
  <c r="G43" i="1"/>
  <c r="O43" i="1" s="1"/>
  <c r="G16" i="1"/>
  <c r="G33" i="1"/>
  <c r="O33" i="1" s="1"/>
  <c r="G45" i="1"/>
  <c r="G19" i="1"/>
  <c r="O19" i="1" s="1"/>
  <c r="G41" i="1"/>
  <c r="G66" i="1"/>
  <c r="O66" i="1" s="1"/>
  <c r="D67" i="1"/>
  <c r="D68" i="1" s="1"/>
  <c r="D72" i="1" s="1"/>
  <c r="V66" i="1" l="1"/>
  <c r="V30" i="1"/>
  <c r="V19" i="1"/>
  <c r="V33" i="1"/>
  <c r="V43" i="1"/>
  <c r="V11" i="1"/>
  <c r="V24" i="1"/>
  <c r="V56" i="1"/>
  <c r="V15" i="1"/>
  <c r="V62" i="1"/>
  <c r="V57" i="1"/>
  <c r="V17" i="1"/>
  <c r="V52" i="1"/>
  <c r="V27" i="1"/>
  <c r="O28" i="1"/>
  <c r="O40" i="1"/>
  <c r="O20" i="1"/>
  <c r="O25" i="1"/>
  <c r="O46" i="1"/>
  <c r="O36" i="1"/>
  <c r="O64" i="1"/>
  <c r="O12" i="1"/>
  <c r="O63" i="1"/>
  <c r="O32" i="1"/>
  <c r="O44" i="1"/>
  <c r="O47" i="1"/>
  <c r="O21" i="1"/>
  <c r="O49" i="1"/>
  <c r="O41" i="1"/>
  <c r="O45" i="1"/>
  <c r="O16" i="1"/>
  <c r="O35" i="1"/>
  <c r="O39" i="1"/>
  <c r="O18" i="1"/>
  <c r="O37" i="1"/>
  <c r="O48" i="1"/>
  <c r="O51" i="1"/>
  <c r="O23" i="1"/>
  <c r="O53" i="1"/>
  <c r="O59" i="1"/>
  <c r="O34" i="1"/>
  <c r="O61" i="1"/>
  <c r="O54" i="1"/>
  <c r="O13" i="1"/>
  <c r="O22" i="1"/>
  <c r="O31" i="1"/>
  <c r="O65" i="1"/>
  <c r="O14" i="1"/>
  <c r="O50" i="1"/>
  <c r="O38" i="1"/>
  <c r="O29" i="1"/>
  <c r="O60" i="1"/>
  <c r="O58" i="1"/>
  <c r="O26" i="1"/>
  <c r="O55" i="1"/>
  <c r="O42" i="1"/>
  <c r="G67" i="1"/>
  <c r="G68" i="1" s="1"/>
  <c r="X27" i="1" l="1"/>
  <c r="W27" i="1"/>
  <c r="X52" i="1"/>
  <c r="W52" i="1"/>
  <c r="X17" i="1"/>
  <c r="W17" i="1"/>
  <c r="X57" i="1"/>
  <c r="W57" i="1"/>
  <c r="X62" i="1"/>
  <c r="W62" i="1"/>
  <c r="X15" i="1"/>
  <c r="W15" i="1"/>
  <c r="X56" i="1"/>
  <c r="W56" i="1"/>
  <c r="X24" i="1"/>
  <c r="W24" i="1"/>
  <c r="X11" i="1"/>
  <c r="W11" i="1"/>
  <c r="X43" i="1"/>
  <c r="W43" i="1"/>
  <c r="X33" i="1"/>
  <c r="W33" i="1"/>
  <c r="X19" i="1"/>
  <c r="W19" i="1"/>
  <c r="X30" i="1"/>
  <c r="W30" i="1"/>
  <c r="X66" i="1"/>
  <c r="W66" i="1"/>
  <c r="V39" i="1"/>
  <c r="V28" i="1"/>
  <c r="V18" i="1"/>
  <c r="V55" i="1"/>
  <c r="V58" i="1"/>
  <c r="V29" i="1"/>
  <c r="V50" i="1"/>
  <c r="V65" i="1"/>
  <c r="V22" i="1"/>
  <c r="V54" i="1"/>
  <c r="V34" i="1"/>
  <c r="V53" i="1"/>
  <c r="V51" i="1"/>
  <c r="V37" i="1"/>
  <c r="V16" i="1"/>
  <c r="V41" i="1"/>
  <c r="V21" i="1"/>
  <c r="V44" i="1"/>
  <c r="V63" i="1"/>
  <c r="V64" i="1"/>
  <c r="V46" i="1"/>
  <c r="V20" i="1"/>
  <c r="V42" i="1"/>
  <c r="V26" i="1"/>
  <c r="V60" i="1"/>
  <c r="V38" i="1"/>
  <c r="V14" i="1"/>
  <c r="V31" i="1"/>
  <c r="V13" i="1"/>
  <c r="V61" i="1"/>
  <c r="V59" i="1"/>
  <c r="V23" i="1"/>
  <c r="V48" i="1"/>
  <c r="V35" i="1"/>
  <c r="V45" i="1"/>
  <c r="V49" i="1"/>
  <c r="V47" i="1"/>
  <c r="V32" i="1"/>
  <c r="V12" i="1"/>
  <c r="V36" i="1"/>
  <c r="V25" i="1"/>
  <c r="V40" i="1"/>
  <c r="O67" i="1"/>
  <c r="Y10" i="1"/>
  <c r="Z10" i="1" l="1"/>
  <c r="AC10" i="1" s="1"/>
  <c r="AE10" i="1" s="1"/>
  <c r="AF10" i="1" s="1"/>
  <c r="Y66" i="1"/>
  <c r="Y30" i="1"/>
  <c r="Z30" i="1" s="1"/>
  <c r="Y19" i="1"/>
  <c r="Z19" i="1" s="1"/>
  <c r="Y33" i="1"/>
  <c r="Z33" i="1" s="1"/>
  <c r="Y43" i="1"/>
  <c r="Z43" i="1" s="1"/>
  <c r="Y11" i="1"/>
  <c r="Z11" i="1" s="1"/>
  <c r="Y24" i="1"/>
  <c r="Z24" i="1" s="1"/>
  <c r="Y56" i="1"/>
  <c r="Z56" i="1" s="1"/>
  <c r="Y15" i="1"/>
  <c r="Z15" i="1" s="1"/>
  <c r="Y62" i="1"/>
  <c r="Z62" i="1" s="1"/>
  <c r="Y57" i="1"/>
  <c r="Y17" i="1"/>
  <c r="Z17" i="1" s="1"/>
  <c r="Y52" i="1"/>
  <c r="Z52" i="1" s="1"/>
  <c r="Y27" i="1"/>
  <c r="Z27" i="1" s="1"/>
  <c r="X40" i="1"/>
  <c r="W40" i="1"/>
  <c r="X32" i="1"/>
  <c r="W32" i="1"/>
  <c r="X48" i="1"/>
  <c r="W48" i="1"/>
  <c r="X14" i="1"/>
  <c r="W14" i="1"/>
  <c r="X42" i="1"/>
  <c r="W42" i="1"/>
  <c r="X63" i="1"/>
  <c r="W63" i="1"/>
  <c r="X53" i="1"/>
  <c r="W53" i="1"/>
  <c r="X28" i="1"/>
  <c r="W28" i="1"/>
  <c r="X36" i="1"/>
  <c r="W36" i="1"/>
  <c r="X49" i="1"/>
  <c r="W49" i="1"/>
  <c r="X35" i="1"/>
  <c r="W35" i="1"/>
  <c r="X59" i="1"/>
  <c r="W59" i="1"/>
  <c r="X13" i="1"/>
  <c r="W13" i="1"/>
  <c r="X60" i="1"/>
  <c r="W60" i="1"/>
  <c r="X46" i="1"/>
  <c r="W46" i="1"/>
  <c r="X21" i="1"/>
  <c r="W21" i="1"/>
  <c r="X16" i="1"/>
  <c r="W16" i="1"/>
  <c r="X37" i="1"/>
  <c r="W37" i="1"/>
  <c r="X54" i="1"/>
  <c r="W54" i="1"/>
  <c r="X65" i="1"/>
  <c r="W65" i="1"/>
  <c r="X29" i="1"/>
  <c r="W29" i="1"/>
  <c r="X55" i="1"/>
  <c r="W55" i="1"/>
  <c r="E62" i="2"/>
  <c r="X25" i="1"/>
  <c r="W25" i="1"/>
  <c r="X12" i="1"/>
  <c r="W12" i="1"/>
  <c r="X47" i="1"/>
  <c r="W47" i="1"/>
  <c r="X45" i="1"/>
  <c r="W45" i="1"/>
  <c r="X23" i="1"/>
  <c r="W23" i="1"/>
  <c r="X61" i="1"/>
  <c r="W61" i="1"/>
  <c r="X31" i="1"/>
  <c r="W31" i="1"/>
  <c r="X38" i="1"/>
  <c r="W38" i="1"/>
  <c r="X26" i="1"/>
  <c r="W26" i="1"/>
  <c r="X20" i="1"/>
  <c r="W20" i="1"/>
  <c r="X64" i="1"/>
  <c r="W64" i="1"/>
  <c r="X44" i="1"/>
  <c r="W44" i="1"/>
  <c r="X41" i="1"/>
  <c r="W41" i="1"/>
  <c r="X51" i="1"/>
  <c r="W51" i="1"/>
  <c r="X34" i="1"/>
  <c r="W34" i="1"/>
  <c r="X22" i="1"/>
  <c r="W22" i="1"/>
  <c r="X50" i="1"/>
  <c r="W50" i="1"/>
  <c r="X58" i="1"/>
  <c r="W58" i="1"/>
  <c r="X18" i="1"/>
  <c r="W18" i="1"/>
  <c r="X39" i="1"/>
  <c r="W39" i="1"/>
  <c r="V67" i="1"/>
  <c r="V68" i="1" s="1"/>
  <c r="V72" i="1" s="1"/>
  <c r="E6" i="2"/>
  <c r="E29" i="2" l="1"/>
  <c r="Z57" i="1"/>
  <c r="AC57" i="1" s="1"/>
  <c r="Z66" i="1"/>
  <c r="AC66" i="1" s="1"/>
  <c r="E23" i="2"/>
  <c r="E39" i="2"/>
  <c r="E7" i="2"/>
  <c r="AZ10" i="1"/>
  <c r="E53" i="2"/>
  <c r="AC30" i="1"/>
  <c r="AC27" i="1"/>
  <c r="AC17" i="1"/>
  <c r="C13" i="2" s="1"/>
  <c r="AC11" i="1"/>
  <c r="AC33" i="1"/>
  <c r="C29" i="2" s="1"/>
  <c r="AC24" i="1"/>
  <c r="AC43" i="1"/>
  <c r="AC19" i="1"/>
  <c r="X67" i="1"/>
  <c r="X68" i="1" s="1"/>
  <c r="X70" i="1" s="1"/>
  <c r="X72" i="1" s="1"/>
  <c r="Y32" i="1"/>
  <c r="E20" i="2"/>
  <c r="Y60" i="1"/>
  <c r="Y13" i="1"/>
  <c r="Y48" i="1"/>
  <c r="Y40" i="1"/>
  <c r="Z40" i="1" s="1"/>
  <c r="E15" i="2"/>
  <c r="E13" i="2"/>
  <c r="E26" i="2"/>
  <c r="AC62" i="1"/>
  <c r="AE62" i="1" s="1"/>
  <c r="AF62" i="1" s="1"/>
  <c r="AZ62" i="1" s="1"/>
  <c r="E58" i="2"/>
  <c r="AC56" i="1"/>
  <c r="AE56" i="1" s="1"/>
  <c r="AF56" i="1" s="1"/>
  <c r="AZ56" i="1" s="1"/>
  <c r="E52" i="2"/>
  <c r="AC15" i="1"/>
  <c r="AE15" i="1" s="1"/>
  <c r="AF15" i="1" s="1"/>
  <c r="AZ15" i="1" s="1"/>
  <c r="E11" i="2"/>
  <c r="Y41" i="1"/>
  <c r="Y59" i="1"/>
  <c r="Y49" i="1"/>
  <c r="Z49" i="1" s="1"/>
  <c r="Y36" i="1"/>
  <c r="Y42" i="1"/>
  <c r="E38" i="2" s="1"/>
  <c r="Y14" i="1"/>
  <c r="AC52" i="1"/>
  <c r="AE52" i="1" s="1"/>
  <c r="AF52" i="1" s="1"/>
  <c r="AZ52" i="1" s="1"/>
  <c r="E48" i="2"/>
  <c r="Y39" i="1"/>
  <c r="Z39" i="1" s="1"/>
  <c r="Y18" i="1"/>
  <c r="Y58" i="1"/>
  <c r="Z58" i="1" s="1"/>
  <c r="Y50" i="1"/>
  <c r="Y22" i="1"/>
  <c r="Y34" i="1"/>
  <c r="Y51" i="1"/>
  <c r="Y44" i="1"/>
  <c r="Z44" i="1" s="1"/>
  <c r="Y64" i="1"/>
  <c r="Y20" i="1"/>
  <c r="Z20" i="1" s="1"/>
  <c r="Y26" i="1"/>
  <c r="E22" i="2" s="1"/>
  <c r="Y38" i="1"/>
  <c r="Y31" i="1"/>
  <c r="Y61" i="1"/>
  <c r="Y23" i="1"/>
  <c r="Y45" i="1"/>
  <c r="Y47" i="1"/>
  <c r="Y12" i="1"/>
  <c r="Y25" i="1"/>
  <c r="Y55" i="1"/>
  <c r="Z55" i="1" s="1"/>
  <c r="Y29" i="1"/>
  <c r="Z29" i="1" s="1"/>
  <c r="Y65" i="1"/>
  <c r="Z65" i="1" s="1"/>
  <c r="Y54" i="1"/>
  <c r="Z54" i="1" s="1"/>
  <c r="Y37" i="1"/>
  <c r="Z37" i="1" s="1"/>
  <c r="Y16" i="1"/>
  <c r="Z16" i="1" s="1"/>
  <c r="Y21" i="1"/>
  <c r="Z21" i="1" s="1"/>
  <c r="Y46" i="1"/>
  <c r="Z46" i="1" s="1"/>
  <c r="Y35" i="1"/>
  <c r="Z35" i="1" s="1"/>
  <c r="Y28" i="1"/>
  <c r="Z28" i="1" s="1"/>
  <c r="Y53" i="1"/>
  <c r="Z53" i="1" s="1"/>
  <c r="Y63" i="1"/>
  <c r="Z63" i="1" s="1"/>
  <c r="W67" i="1"/>
  <c r="W7" i="1" s="1"/>
  <c r="Y7" i="1" s="1"/>
  <c r="Z7" i="1" s="1"/>
  <c r="E55" i="2"/>
  <c r="E28" i="2"/>
  <c r="E45" i="2" l="1"/>
  <c r="W68" i="1"/>
  <c r="W72" i="1" s="1"/>
  <c r="AE66" i="1"/>
  <c r="AF66" i="1" s="1"/>
  <c r="AZ66" i="1" s="1"/>
  <c r="C62" i="2"/>
  <c r="AY66" i="1"/>
  <c r="AE57" i="1"/>
  <c r="AF57" i="1" s="1"/>
  <c r="AZ57" i="1" s="1"/>
  <c r="AY57" i="1"/>
  <c r="C53" i="2"/>
  <c r="Z25" i="1"/>
  <c r="AC25" i="1" s="1"/>
  <c r="Z23" i="1"/>
  <c r="AC23" i="1" s="1"/>
  <c r="E27" i="2"/>
  <c r="Z31" i="1"/>
  <c r="AC31" i="1" s="1"/>
  <c r="Z26" i="1"/>
  <c r="AC26" i="1" s="1"/>
  <c r="Z64" i="1"/>
  <c r="AC64" i="1" s="1"/>
  <c r="Z51" i="1"/>
  <c r="AC51" i="1" s="1"/>
  <c r="Z22" i="1"/>
  <c r="AC22" i="1" s="1"/>
  <c r="Z42" i="1"/>
  <c r="AC42" i="1" s="1"/>
  <c r="E37" i="2"/>
  <c r="Z41" i="1"/>
  <c r="AC41" i="1" s="1"/>
  <c r="Z13" i="1"/>
  <c r="AC13" i="1" s="1"/>
  <c r="Z47" i="1"/>
  <c r="AC47" i="1" s="1"/>
  <c r="AE47" i="1" s="1"/>
  <c r="AF47" i="1" s="1"/>
  <c r="AZ47" i="1" s="1"/>
  <c r="E8" i="2"/>
  <c r="Z12" i="1"/>
  <c r="AC12" i="1" s="1"/>
  <c r="AE12" i="1" s="1"/>
  <c r="AF12" i="1" s="1"/>
  <c r="AZ12" i="1" s="1"/>
  <c r="E41" i="2"/>
  <c r="Z45" i="1"/>
  <c r="E57" i="2"/>
  <c r="Z61" i="1"/>
  <c r="E34" i="2"/>
  <c r="Z38" i="1"/>
  <c r="AC38" i="1" s="1"/>
  <c r="Z34" i="1"/>
  <c r="AC34" i="1" s="1"/>
  <c r="Z50" i="1"/>
  <c r="AC50" i="1" s="1"/>
  <c r="E14" i="2"/>
  <c r="Z18" i="1"/>
  <c r="Z14" i="1"/>
  <c r="AC14" i="1" s="1"/>
  <c r="AE14" i="1" s="1"/>
  <c r="AF14" i="1" s="1"/>
  <c r="AZ14" i="1" s="1"/>
  <c r="Z36" i="1"/>
  <c r="AC36" i="1" s="1"/>
  <c r="Z59" i="1"/>
  <c r="AC59" i="1" s="1"/>
  <c r="E44" i="2"/>
  <c r="Z48" i="1"/>
  <c r="AC48" i="1" s="1"/>
  <c r="C44" i="2" s="1"/>
  <c r="E56" i="2"/>
  <c r="Z60" i="1"/>
  <c r="AC60" i="1" s="1"/>
  <c r="AE60" i="1" s="1"/>
  <c r="AF60" i="1" s="1"/>
  <c r="AZ60" i="1" s="1"/>
  <c r="Z32" i="1"/>
  <c r="AC32" i="1" s="1"/>
  <c r="E9" i="2"/>
  <c r="E19" i="2"/>
  <c r="AY43" i="1"/>
  <c r="AE43" i="1"/>
  <c r="AF43" i="1" s="1"/>
  <c r="AZ43" i="1" s="1"/>
  <c r="AY33" i="1"/>
  <c r="AE33" i="1"/>
  <c r="AF33" i="1" s="1"/>
  <c r="AZ33" i="1" s="1"/>
  <c r="AY17" i="1"/>
  <c r="AE17" i="1"/>
  <c r="AF17" i="1" s="1"/>
  <c r="AZ17" i="1" s="1"/>
  <c r="C26" i="2"/>
  <c r="AE30" i="1"/>
  <c r="AF30" i="1" s="1"/>
  <c r="AZ30" i="1" s="1"/>
  <c r="AY19" i="1"/>
  <c r="AE19" i="1"/>
  <c r="AF19" i="1" s="1"/>
  <c r="AZ19" i="1" s="1"/>
  <c r="AY24" i="1"/>
  <c r="AE24" i="1"/>
  <c r="AF24" i="1" s="1"/>
  <c r="AZ24" i="1" s="1"/>
  <c r="AY11" i="1"/>
  <c r="AE11" i="1"/>
  <c r="AY27" i="1"/>
  <c r="AE27" i="1"/>
  <c r="AF27" i="1" s="1"/>
  <c r="AZ27" i="1" s="1"/>
  <c r="AY30" i="1"/>
  <c r="AC29" i="1"/>
  <c r="AC58" i="1"/>
  <c r="AY58" i="1" s="1"/>
  <c r="E21" i="2"/>
  <c r="AC44" i="1"/>
  <c r="C40" i="2" s="1"/>
  <c r="AC49" i="1"/>
  <c r="AC40" i="1"/>
  <c r="C15" i="2"/>
  <c r="C39" i="2"/>
  <c r="C20" i="2"/>
  <c r="C7" i="2"/>
  <c r="C23" i="2"/>
  <c r="E46" i="2"/>
  <c r="E36" i="2"/>
  <c r="E32" i="2"/>
  <c r="E10" i="2"/>
  <c r="E43" i="2"/>
  <c r="E54" i="2"/>
  <c r="E18" i="2"/>
  <c r="E25" i="2"/>
  <c r="E47" i="2"/>
  <c r="E60" i="2"/>
  <c r="E40" i="2"/>
  <c r="AY15" i="1"/>
  <c r="C11" i="2"/>
  <c r="AY56" i="1"/>
  <c r="C52" i="2"/>
  <c r="C58" i="2"/>
  <c r="AY62" i="1"/>
  <c r="E31" i="2"/>
  <c r="AC35" i="1"/>
  <c r="AE35" i="1" s="1"/>
  <c r="AF35" i="1" s="1"/>
  <c r="AZ35" i="1" s="1"/>
  <c r="AC21" i="1"/>
  <c r="AE21" i="1" s="1"/>
  <c r="AF21" i="1" s="1"/>
  <c r="AZ21" i="1" s="1"/>
  <c r="E17" i="2"/>
  <c r="AC37" i="1"/>
  <c r="AE37" i="1" s="1"/>
  <c r="AF37" i="1" s="1"/>
  <c r="AZ37" i="1" s="1"/>
  <c r="E33" i="2"/>
  <c r="AC65" i="1"/>
  <c r="AE65" i="1" s="1"/>
  <c r="AF65" i="1" s="1"/>
  <c r="AZ65" i="1" s="1"/>
  <c r="E61" i="2"/>
  <c r="AC55" i="1"/>
  <c r="AE55" i="1" s="1"/>
  <c r="AF55" i="1" s="1"/>
  <c r="AZ55" i="1" s="1"/>
  <c r="E51" i="2"/>
  <c r="AC20" i="1"/>
  <c r="AE20" i="1" s="1"/>
  <c r="AF20" i="1" s="1"/>
  <c r="AZ20" i="1" s="1"/>
  <c r="E16" i="2"/>
  <c r="C48" i="2"/>
  <c r="AY52" i="1"/>
  <c r="Y67" i="1"/>
  <c r="Y68" i="1" s="1"/>
  <c r="Y70" i="1" s="1"/>
  <c r="Y72" i="1" s="1"/>
  <c r="E30" i="2"/>
  <c r="AC28" i="1"/>
  <c r="AE28" i="1" s="1"/>
  <c r="AF28" i="1" s="1"/>
  <c r="AZ28" i="1" s="1"/>
  <c r="E24" i="2"/>
  <c r="AC46" i="1"/>
  <c r="AE46" i="1" s="1"/>
  <c r="AF46" i="1" s="1"/>
  <c r="AZ46" i="1" s="1"/>
  <c r="E42" i="2"/>
  <c r="AC16" i="1"/>
  <c r="AE16" i="1" s="1"/>
  <c r="AF16" i="1" s="1"/>
  <c r="AZ16" i="1" s="1"/>
  <c r="E12" i="2"/>
  <c r="E50" i="2"/>
  <c r="AC54" i="1"/>
  <c r="AE54" i="1" s="1"/>
  <c r="AF54" i="1" s="1"/>
  <c r="AZ54" i="1" s="1"/>
  <c r="AC39" i="1"/>
  <c r="AE39" i="1" s="1"/>
  <c r="AF39" i="1" s="1"/>
  <c r="AZ39" i="1" s="1"/>
  <c r="E35" i="2"/>
  <c r="AC53" i="1"/>
  <c r="AE53" i="1" s="1"/>
  <c r="AF53" i="1" s="1"/>
  <c r="AZ53" i="1" s="1"/>
  <c r="E49" i="2"/>
  <c r="AC63" i="1"/>
  <c r="AE63" i="1" s="1"/>
  <c r="AF63" i="1" s="1"/>
  <c r="AZ63" i="1" s="1"/>
  <c r="E59" i="2"/>
  <c r="C6" i="2"/>
  <c r="AY10" i="1"/>
  <c r="AE41" i="1" l="1"/>
  <c r="AF41" i="1" s="1"/>
  <c r="AZ41" i="1" s="1"/>
  <c r="AY41" i="1"/>
  <c r="AE50" i="1"/>
  <c r="AF50" i="1" s="1"/>
  <c r="AZ50" i="1" s="1"/>
  <c r="C46" i="2"/>
  <c r="AY50" i="1"/>
  <c r="AY60" i="1"/>
  <c r="AE31" i="1"/>
  <c r="AF31" i="1" s="1"/>
  <c r="AZ31" i="1" s="1"/>
  <c r="AY31" i="1"/>
  <c r="AE59" i="1"/>
  <c r="AF59" i="1" s="1"/>
  <c r="AZ59" i="1" s="1"/>
  <c r="AY59" i="1"/>
  <c r="C55" i="2"/>
  <c r="AE38" i="1"/>
  <c r="AF38" i="1" s="1"/>
  <c r="AZ38" i="1" s="1"/>
  <c r="AY38" i="1"/>
  <c r="C56" i="2"/>
  <c r="AE34" i="1"/>
  <c r="AF34" i="1" s="1"/>
  <c r="AZ34" i="1" s="1"/>
  <c r="C30" i="2"/>
  <c r="AY34" i="1"/>
  <c r="AE36" i="1"/>
  <c r="AF36" i="1" s="1"/>
  <c r="AZ36" i="1" s="1"/>
  <c r="C32" i="2"/>
  <c r="AY36" i="1"/>
  <c r="AE32" i="1"/>
  <c r="AF32" i="1" s="1"/>
  <c r="AZ32" i="1" s="1"/>
  <c r="AY32" i="1"/>
  <c r="C28" i="2"/>
  <c r="AE13" i="1"/>
  <c r="AF13" i="1" s="1"/>
  <c r="AZ13" i="1" s="1"/>
  <c r="C9" i="2"/>
  <c r="AY13" i="1"/>
  <c r="AY14" i="1"/>
  <c r="AY47" i="1"/>
  <c r="C10" i="2"/>
  <c r="C43" i="2"/>
  <c r="C27" i="2"/>
  <c r="C37" i="2"/>
  <c r="C34" i="2"/>
  <c r="AE22" i="1"/>
  <c r="AF22" i="1" s="1"/>
  <c r="AZ22" i="1" s="1"/>
  <c r="C18" i="2"/>
  <c r="AY22" i="1"/>
  <c r="AE64" i="1"/>
  <c r="AF64" i="1" s="1"/>
  <c r="AZ64" i="1" s="1"/>
  <c r="AY64" i="1"/>
  <c r="C60" i="2"/>
  <c r="AE23" i="1"/>
  <c r="AF23" i="1" s="1"/>
  <c r="AZ23" i="1" s="1"/>
  <c r="C19" i="2"/>
  <c r="AY23" i="1"/>
  <c r="AE42" i="1"/>
  <c r="AF42" i="1" s="1"/>
  <c r="AZ42" i="1" s="1"/>
  <c r="AY42" i="1"/>
  <c r="C38" i="2"/>
  <c r="AE51" i="1"/>
  <c r="AF51" i="1" s="1"/>
  <c r="AZ51" i="1" s="1"/>
  <c r="C47" i="2"/>
  <c r="AY51" i="1"/>
  <c r="AE26" i="1"/>
  <c r="AF26" i="1" s="1"/>
  <c r="AZ26" i="1" s="1"/>
  <c r="C22" i="2"/>
  <c r="AY26" i="1"/>
  <c r="AE25" i="1"/>
  <c r="AF25" i="1" s="1"/>
  <c r="AZ25" i="1" s="1"/>
  <c r="C21" i="2"/>
  <c r="AY25" i="1"/>
  <c r="C45" i="2"/>
  <c r="AE49" i="1"/>
  <c r="AF49" i="1" s="1"/>
  <c r="AZ49" i="1" s="1"/>
  <c r="C25" i="2"/>
  <c r="AE29" i="1"/>
  <c r="AF29" i="1" s="1"/>
  <c r="AZ29" i="1" s="1"/>
  <c r="AF11" i="1"/>
  <c r="AY40" i="1"/>
  <c r="AE40" i="1"/>
  <c r="AF40" i="1" s="1"/>
  <c r="AZ40" i="1" s="1"/>
  <c r="AY44" i="1"/>
  <c r="AE44" i="1"/>
  <c r="AF44" i="1" s="1"/>
  <c r="AZ44" i="1" s="1"/>
  <c r="C54" i="2"/>
  <c r="AE58" i="1"/>
  <c r="AF58" i="1" s="1"/>
  <c r="AZ58" i="1" s="1"/>
  <c r="AY48" i="1"/>
  <c r="AE48" i="1"/>
  <c r="AF48" i="1" s="1"/>
  <c r="AZ48" i="1" s="1"/>
  <c r="AY49" i="1"/>
  <c r="C36" i="2"/>
  <c r="AC18" i="1"/>
  <c r="AC45" i="1"/>
  <c r="AC61" i="1"/>
  <c r="AY29" i="1"/>
  <c r="C8" i="2"/>
  <c r="AY12" i="1"/>
  <c r="E63" i="2"/>
  <c r="AY70" i="1"/>
  <c r="AY54" i="1"/>
  <c r="C50" i="2"/>
  <c r="C16" i="2"/>
  <c r="AY20" i="1"/>
  <c r="AY55" i="1"/>
  <c r="C51" i="2"/>
  <c r="AY65" i="1"/>
  <c r="C61" i="2"/>
  <c r="AY37" i="1"/>
  <c r="C33" i="2"/>
  <c r="AY21" i="1"/>
  <c r="C17" i="2"/>
  <c r="Z67" i="1"/>
  <c r="C35" i="2"/>
  <c r="AY39" i="1"/>
  <c r="AY16" i="1"/>
  <c r="C12" i="2"/>
  <c r="C42" i="2"/>
  <c r="AY46" i="1"/>
  <c r="AY28" i="1"/>
  <c r="C24" i="2"/>
  <c r="C31" i="2"/>
  <c r="AY35" i="1"/>
  <c r="AY53" i="1"/>
  <c r="C49" i="2"/>
  <c r="AY63" i="1"/>
  <c r="C59" i="2"/>
  <c r="Z70" i="1"/>
  <c r="AC70" i="1" s="1"/>
  <c r="AE70" i="1" s="1"/>
  <c r="AC67" i="1" l="1"/>
  <c r="C41" i="2"/>
  <c r="AE45" i="1"/>
  <c r="AF45" i="1" s="1"/>
  <c r="AZ45" i="1" s="1"/>
  <c r="C57" i="2"/>
  <c r="AE61" i="1"/>
  <c r="AF61" i="1" s="1"/>
  <c r="AZ61" i="1" s="1"/>
  <c r="AY18" i="1"/>
  <c r="AE18" i="1"/>
  <c r="AZ11" i="1"/>
  <c r="C14" i="2"/>
  <c r="AY61" i="1"/>
  <c r="AY45" i="1"/>
  <c r="AY67" i="1" l="1"/>
  <c r="C63" i="2"/>
  <c r="AF18" i="1"/>
  <c r="AE67" i="1"/>
  <c r="AZ18" i="1" l="1"/>
  <c r="AZ67" i="1" s="1"/>
  <c r="AF67" i="1"/>
  <c r="AH68" i="1"/>
  <c r="O68" i="1" l="1"/>
  <c r="O72" i="1" s="1"/>
  <c r="AC7" i="1"/>
  <c r="AE7" i="1" s="1"/>
  <c r="AN68" i="1"/>
  <c r="AF7" i="1" l="1"/>
  <c r="AE68" i="1"/>
  <c r="AE72" i="1" s="1"/>
  <c r="AR68" i="1"/>
  <c r="Z68" i="1"/>
  <c r="Z72" i="1" s="1"/>
  <c r="AZ7" i="1" l="1"/>
  <c r="AZ68" i="1" s="1"/>
  <c r="AF68" i="1"/>
  <c r="AF72" i="1" s="1"/>
  <c r="AC68" i="1"/>
  <c r="AC72" i="1" s="1"/>
  <c r="AY7" i="1"/>
  <c r="AY68" i="1" s="1"/>
  <c r="AU68" i="1"/>
  <c r="AU72" i="1" s="1"/>
  <c r="AP77" i="1" l="1"/>
  <c r="AP78" i="1" s="1"/>
</calcChain>
</file>

<file path=xl/sharedStrings.xml><?xml version="1.0" encoding="utf-8"?>
<sst xmlns="http://schemas.openxmlformats.org/spreadsheetml/2006/main" count="641" uniqueCount="387">
  <si>
    <t>Site
Code</t>
  </si>
  <si>
    <t>LEA</t>
  </si>
  <si>
    <t xml:space="preserve">
Feb. 1, 2013
MFP Funded
Membership
(Per SIS)
</t>
  </si>
  <si>
    <t xml:space="preserve">
Continuation
of
Prior Year 
Pay Raises
(FY2001-02 
through
FY2008-09)
Per Pupil
Amount</t>
  </si>
  <si>
    <t>Continuation 
of 
Prior Year
Pay 
Raises</t>
  </si>
  <si>
    <r>
      <t>Audit
Adjust-
ments
FY2012-13
MFP</t>
    </r>
    <r>
      <rPr>
        <sz val="10"/>
        <color indexed="18"/>
        <rFont val="Futura Lt BT"/>
        <family val="2"/>
      </rPr>
      <t xml:space="preserve">
(Includes 
2/1 midyear
 from 
FY2011-12)</t>
    </r>
  </si>
  <si>
    <t xml:space="preserve">Local
Admin
Fee
</t>
  </si>
  <si>
    <r>
      <t>Audit
Adjust-
ments
FY2012-13
MFP</t>
    </r>
    <r>
      <rPr>
        <sz val="10"/>
        <color indexed="18"/>
        <rFont val="Futura Lt BT"/>
        <family val="2"/>
      </rPr>
      <t xml:space="preserve">
(Includes 
2/1 midyear
 from 
FY2011-12</t>
    </r>
  </si>
  <si>
    <t>Sitecode</t>
  </si>
  <si>
    <t>RSD Operated (Orleans Only)</t>
  </si>
  <si>
    <t>RSD Chartered</t>
  </si>
  <si>
    <r>
      <t xml:space="preserve">New Beginnings, UNO 
</t>
    </r>
    <r>
      <rPr>
        <sz val="11"/>
        <rFont val="Futura Lt BT"/>
        <family val="2"/>
      </rPr>
      <t>(Medard Nelson)</t>
    </r>
  </si>
  <si>
    <r>
      <t xml:space="preserve">New Beginnings, UNO
</t>
    </r>
    <r>
      <rPr>
        <sz val="11"/>
        <rFont val="Futura Lt BT"/>
        <family val="2"/>
      </rPr>
      <t>Gentilly Terrace Charter School</t>
    </r>
  </si>
  <si>
    <r>
      <t xml:space="preserve">Crescent Leadership Academy
</t>
    </r>
    <r>
      <rPr>
        <sz val="10"/>
        <rFont val="Futura Lt BT"/>
        <family val="2"/>
      </rPr>
      <t xml:space="preserve">(Crescent Leadership Acad./Schwarz)
</t>
    </r>
    <r>
      <rPr>
        <sz val="10"/>
        <color rgb="FFFF0000"/>
        <rFont val="Futura Lt BT"/>
        <family val="2"/>
      </rPr>
      <t>Not in a District Building</t>
    </r>
  </si>
  <si>
    <t>Future is Now
(John McDonogh Senior H.S.)</t>
  </si>
  <si>
    <t>Crescent City Schools, Inc.
(Crescent City School)(Tubman)</t>
  </si>
  <si>
    <t>Crescent City Schools
(Paul B. Habans)</t>
  </si>
  <si>
    <t>Comm. Leaders Adv. Student Suc
(Fannie C. Williams)</t>
  </si>
  <si>
    <r>
      <t xml:space="preserve">Lagniappe Academies, Inc.
(Lagniappe Academies)
</t>
    </r>
    <r>
      <rPr>
        <sz val="12"/>
        <color rgb="FFFF0000"/>
        <rFont val="Futura Lt BT"/>
        <family val="2"/>
      </rPr>
      <t>Not in a District Building</t>
    </r>
  </si>
  <si>
    <r>
      <t xml:space="preserve">Spirit of Excellence Academy
</t>
    </r>
    <r>
      <rPr>
        <sz val="11"/>
        <rFont val="Futura Lt BT"/>
        <family val="2"/>
      </rPr>
      <t>(Spirit of Exc. Academy)(Harney)</t>
    </r>
  </si>
  <si>
    <r>
      <t xml:space="preserve">Morris Jeff. Community Sch, Inc.
</t>
    </r>
    <r>
      <rPr>
        <sz val="11"/>
        <rFont val="Futura Lt BT"/>
        <family val="2"/>
      </rPr>
      <t xml:space="preserve">(Morris Jeff. Community School)
</t>
    </r>
    <r>
      <rPr>
        <sz val="11"/>
        <color rgb="FFFF0000"/>
        <rFont val="Futura Lt BT"/>
        <family val="2"/>
      </rPr>
      <t>Not in a District Building</t>
    </r>
  </si>
  <si>
    <t>ReNew Schools*
(ReNew Accel. H.S., City Park)</t>
  </si>
  <si>
    <t>ReNew Schools*
(ReNew Accel. H.S., West Bank)</t>
  </si>
  <si>
    <r>
      <t xml:space="preserve">Arise Academy
</t>
    </r>
    <r>
      <rPr>
        <sz val="11"/>
        <rFont val="Futura Lt BT"/>
        <family val="2"/>
      </rPr>
      <t>(Arise Academy)</t>
    </r>
  </si>
  <si>
    <r>
      <t xml:space="preserve">Miller-McCoy Academy
</t>
    </r>
    <r>
      <rPr>
        <sz val="11"/>
        <rFont val="Futura Lt BT"/>
        <family val="2"/>
      </rPr>
      <t>(Miller-McCoy Academy)</t>
    </r>
  </si>
  <si>
    <r>
      <t xml:space="preserve">Dryades YMCA
</t>
    </r>
    <r>
      <rPr>
        <sz val="11"/>
        <rFont val="Futura Lt BT"/>
        <family val="2"/>
      </rPr>
      <t xml:space="preserve">(James M. Singleton Charter Middle)
</t>
    </r>
    <r>
      <rPr>
        <sz val="11"/>
        <color rgb="FFFF0000"/>
        <rFont val="Futura Lt BT"/>
        <family val="2"/>
      </rPr>
      <t>Not in a District Building</t>
    </r>
  </si>
  <si>
    <r>
      <t xml:space="preserve">Friends of King 
</t>
    </r>
    <r>
      <rPr>
        <sz val="11"/>
        <rFont val="Futura Lt BT"/>
        <family val="2"/>
      </rPr>
      <t>(Martin Luther King Elem.)</t>
    </r>
  </si>
  <si>
    <r>
      <t xml:space="preserve">New Orleans Charter School Fdtn.
</t>
    </r>
    <r>
      <rPr>
        <sz val="11"/>
        <rFont val="Futura Lt BT"/>
        <family val="2"/>
      </rPr>
      <t xml:space="preserve"> (Mc #28 City Park)</t>
    </r>
  </si>
  <si>
    <r>
      <t xml:space="preserve">Choice Foundation
</t>
    </r>
    <r>
      <rPr>
        <sz val="11"/>
        <rFont val="Futura Lt BT"/>
        <family val="2"/>
      </rPr>
      <t>(Lafayette Academy)</t>
    </r>
  </si>
  <si>
    <r>
      <t xml:space="preserve">Choice Foundation 
</t>
    </r>
    <r>
      <rPr>
        <sz val="11"/>
        <rFont val="Futura Lt BT"/>
        <family val="2"/>
      </rPr>
      <t>(Esperanza/Crossman)</t>
    </r>
  </si>
  <si>
    <r>
      <t xml:space="preserve">Algiers Charter School Assoc. 
</t>
    </r>
    <r>
      <rPr>
        <sz val="11"/>
        <rFont val="Futura Lt BT"/>
        <family val="2"/>
      </rPr>
      <t>(Martin Behrman)</t>
    </r>
  </si>
  <si>
    <r>
      <t xml:space="preserve">Algiers Charter School Assoc. 
</t>
    </r>
    <r>
      <rPr>
        <sz val="11"/>
        <rFont val="Futura Lt BT"/>
        <family val="2"/>
      </rPr>
      <t>(Dwight D. Eisenhower)</t>
    </r>
  </si>
  <si>
    <r>
      <t xml:space="preserve">Algiers Charter School Assoc. 
</t>
    </r>
    <r>
      <rPr>
        <sz val="11"/>
        <rFont val="Futura Lt BT"/>
        <family val="2"/>
      </rPr>
      <t>(William J. Fischer)</t>
    </r>
  </si>
  <si>
    <r>
      <t xml:space="preserve">Algiers Charter School Assoc.
</t>
    </r>
    <r>
      <rPr>
        <sz val="11"/>
        <rFont val="Futura Lt BT"/>
        <family val="2"/>
      </rPr>
      <t xml:space="preserve"> (McDonogh #32)</t>
    </r>
  </si>
  <si>
    <r>
      <t xml:space="preserve">Algiers Charter School Assoc.
</t>
    </r>
    <r>
      <rPr>
        <sz val="11"/>
        <rFont val="Futura Lt BT"/>
        <family val="2"/>
      </rPr>
      <t>(O. P. Walker Sr. High)</t>
    </r>
  </si>
  <si>
    <r>
      <t xml:space="preserve">Algiers Charter School Assoc. 
</t>
    </r>
    <r>
      <rPr>
        <sz val="11"/>
        <rFont val="Futura Lt BT"/>
        <family val="2"/>
      </rPr>
      <t>(ACSA Tech High at Rosenwald)</t>
    </r>
  </si>
  <si>
    <r>
      <t xml:space="preserve">Instititute of Academic Excellence,
</t>
    </r>
    <r>
      <rPr>
        <sz val="11"/>
        <rFont val="Futura Lt BT"/>
        <family val="2"/>
      </rPr>
      <t>SUNO  (Sophie B. Wright)</t>
    </r>
  </si>
  <si>
    <r>
      <t xml:space="preserve">KIPP New Orleans
</t>
    </r>
    <r>
      <rPr>
        <sz val="11"/>
        <rFont val="Futura Lt BT"/>
        <family val="2"/>
      </rPr>
      <t>(Edward Phillips/Kipp Believe)</t>
    </r>
  </si>
  <si>
    <r>
      <t xml:space="preserve">KIPP New Orleans
</t>
    </r>
    <r>
      <rPr>
        <sz val="11"/>
        <rFont val="Futura Lt BT"/>
        <family val="2"/>
      </rPr>
      <t>(McDonogh #15)</t>
    </r>
  </si>
  <si>
    <r>
      <t xml:space="preserve">KIPP New Orleans
</t>
    </r>
    <r>
      <rPr>
        <sz val="11"/>
        <rFont val="Futura Lt BT"/>
        <family val="2"/>
      </rPr>
      <t>(KIPP Central City Academy)</t>
    </r>
  </si>
  <si>
    <r>
      <t xml:space="preserve">KIPP New Orleans, Inc.
</t>
    </r>
    <r>
      <rPr>
        <sz val="11"/>
        <rFont val="Futura Lt BT"/>
        <family val="2"/>
      </rPr>
      <t>(Kipp Central City Primary)</t>
    </r>
  </si>
  <si>
    <r>
      <t>KIPP New Orleans, Inc.
(</t>
    </r>
    <r>
      <rPr>
        <sz val="11"/>
        <rFont val="Futura Lt BT"/>
        <family val="2"/>
      </rPr>
      <t>Kipp Renaissance High School)</t>
    </r>
  </si>
  <si>
    <r>
      <t xml:space="preserve">KIPP New Orleans, Inc.
</t>
    </r>
    <r>
      <rPr>
        <sz val="11"/>
        <rFont val="Futura Lt BT"/>
        <family val="2"/>
      </rPr>
      <t>Kipp N. O. Leadership Academy)</t>
    </r>
  </si>
  <si>
    <r>
      <t xml:space="preserve">Firstline Schools, Inc.
</t>
    </r>
    <r>
      <rPr>
        <sz val="11"/>
        <rFont val="Futura Lt BT"/>
        <family val="2"/>
      </rPr>
      <t>(Langston Hughes Academy)</t>
    </r>
  </si>
  <si>
    <t>3A5001</t>
  </si>
  <si>
    <t>Better Choice Foundation
(Mary Dora Coghill Accelerated)</t>
  </si>
  <si>
    <t>Total RSD Chartered</t>
  </si>
  <si>
    <t>TOTAL RSD 
(Operated + Chartered)</t>
  </si>
  <si>
    <t>State Share
Allocation
Base Amount</t>
  </si>
  <si>
    <t>Total</t>
  </si>
  <si>
    <t>LDOE Administration Fee</t>
  </si>
  <si>
    <t>State Admin Fee</t>
  </si>
  <si>
    <t>Admin 
Fee to
RSD</t>
  </si>
  <si>
    <t>Admin
Fee to 
LDOE</t>
  </si>
  <si>
    <t>Total
Admin.
Fee</t>
  </si>
  <si>
    <t>State Share
Allocation
Base Amount
+
Continuation 
of Pay Raises
+
Special Ed
Allocation
+/-
Admin. Fee</t>
  </si>
  <si>
    <t>N/A</t>
  </si>
  <si>
    <t>Combined
State &amp; Local
Payment 
Amount</t>
  </si>
  <si>
    <r>
      <t xml:space="preserve">MFP 
State
Allocation
</t>
    </r>
    <r>
      <rPr>
        <sz val="10"/>
        <color rgb="FFFF0000"/>
        <rFont val="Futura Lt BT"/>
      </rPr>
      <t>(Includes
Admin.
Fee)</t>
    </r>
  </si>
  <si>
    <r>
      <t xml:space="preserve">Local 
Allocation
</t>
    </r>
    <r>
      <rPr>
        <sz val="10"/>
        <color rgb="FFFF0000"/>
        <rFont val="Futura Lt BT"/>
      </rPr>
      <t>(Includes
Admin.
Fee)</t>
    </r>
  </si>
  <si>
    <r>
      <t xml:space="preserve">Educators for Quality Alternatives 
(The NET Charter School)
</t>
    </r>
    <r>
      <rPr>
        <sz val="10"/>
        <color rgb="FFFF0000"/>
        <rFont val="Futura Lt BT"/>
      </rPr>
      <t>(Not in a District Building)</t>
    </r>
  </si>
  <si>
    <t xml:space="preserve">
This last column = end of Table 2A2</t>
  </si>
  <si>
    <r>
      <t xml:space="preserve">New Beginnings, UNO 
</t>
    </r>
    <r>
      <rPr>
        <sz val="11"/>
        <rFont val="Futura Lt BT"/>
        <family val="2"/>
      </rPr>
      <t>(Pierra A. Capdau Learning Academy.)</t>
    </r>
  </si>
  <si>
    <r>
      <t xml:space="preserve">New Beginnings, UNO
</t>
    </r>
    <r>
      <rPr>
        <sz val="11"/>
        <rFont val="Futura Lt BT"/>
        <family val="2"/>
      </rPr>
      <t>(Lake Area New Tech  Early College HS)</t>
    </r>
  </si>
  <si>
    <r>
      <t xml:space="preserve">Collegiate Academies
</t>
    </r>
    <r>
      <rPr>
        <sz val="10"/>
        <rFont val="Futura Lt BT"/>
        <family val="2"/>
      </rPr>
      <t>(Sci Academy)</t>
    </r>
  </si>
  <si>
    <r>
      <t xml:space="preserve">Collegiate Academies
</t>
    </r>
    <r>
      <rPr>
        <sz val="11"/>
        <rFont val="Futura Lt BT"/>
      </rPr>
      <t>(G.W. Carver Collegiate Academy)</t>
    </r>
  </si>
  <si>
    <r>
      <t xml:space="preserve">Collegiate Academies
</t>
    </r>
    <r>
      <rPr>
        <sz val="11"/>
        <rFont val="Futura Lt BT"/>
      </rPr>
      <t>(G.W. Carver Prep Academy)</t>
    </r>
  </si>
  <si>
    <r>
      <t xml:space="preserve">N. O. College Prep
</t>
    </r>
    <r>
      <rPr>
        <sz val="11"/>
        <rFont val="Futura Lt BT"/>
      </rPr>
      <t>(Cohen College Prep)</t>
    </r>
  </si>
  <si>
    <r>
      <t xml:space="preserve">Firstline Schools, Inc.
</t>
    </r>
    <r>
      <rPr>
        <sz val="11"/>
        <rFont val="Futura Lt BT"/>
        <family val="2"/>
      </rPr>
      <t>(John Dibert Community School)</t>
    </r>
  </si>
  <si>
    <r>
      <t xml:space="preserve">Firstline Schools, Inc.*
</t>
    </r>
    <r>
      <rPr>
        <sz val="11"/>
        <rFont val="Futura Lt BT"/>
      </rPr>
      <t>(Joseph Clark High School)</t>
    </r>
  </si>
  <si>
    <r>
      <t xml:space="preserve">Firstline Schools, Inc.
</t>
    </r>
    <r>
      <rPr>
        <sz val="11"/>
        <rFont val="Futura Lt BT"/>
      </rPr>
      <t>(Samuel J. Green)</t>
    </r>
  </si>
  <si>
    <r>
      <t xml:space="preserve">Better Choice Foundation
</t>
    </r>
    <r>
      <rPr>
        <sz val="11"/>
        <rFont val="Futura Lt BT"/>
      </rPr>
      <t>(Mary Dora Coghill Accelerated)</t>
    </r>
  </si>
  <si>
    <r>
      <t xml:space="preserve">Crescent City Schools, Inc.
</t>
    </r>
    <r>
      <rPr>
        <sz val="11"/>
        <rFont val="Futura Lt BT"/>
      </rPr>
      <t>(Akili Academy)</t>
    </r>
  </si>
  <si>
    <r>
      <t xml:space="preserve">Success Preparatory Academy
</t>
    </r>
    <r>
      <rPr>
        <sz val="11"/>
        <rFont val="Futura Lt BT"/>
      </rPr>
      <t>(Success Prep)</t>
    </r>
  </si>
  <si>
    <r>
      <t xml:space="preserve">Arise Academy #2 
</t>
    </r>
    <r>
      <rPr>
        <sz val="11"/>
        <rFont val="Futura Lt BT"/>
      </rPr>
      <t xml:space="preserve">(Mildred Osborne Charter) </t>
    </r>
  </si>
  <si>
    <r>
      <t xml:space="preserve">ReNew Schools
</t>
    </r>
    <r>
      <rPr>
        <sz val="11"/>
        <rFont val="Futura Lt BT"/>
      </rPr>
      <t>(Schaumberg)</t>
    </r>
  </si>
  <si>
    <r>
      <t xml:space="preserve">N.O. College Prep Academies
</t>
    </r>
    <r>
      <rPr>
        <sz val="11"/>
        <rFont val="Futura Lt BT"/>
        <family val="2"/>
      </rPr>
      <t>(Sylvanie Williams College Prep)</t>
    </r>
  </si>
  <si>
    <r>
      <t xml:space="preserve">N. O. College Prep #3
</t>
    </r>
    <r>
      <rPr>
        <sz val="11"/>
        <rFont val="Futura Lt BT"/>
      </rPr>
      <t>(Crocker College Prep)</t>
    </r>
  </si>
  <si>
    <r>
      <t xml:space="preserve">Broadmoor Charter
</t>
    </r>
    <r>
      <rPr>
        <sz val="11"/>
        <rFont val="Futura Lt BT"/>
        <family val="2"/>
      </rPr>
      <t xml:space="preserve"> (Andrew H. Wilson Charter School)</t>
    </r>
  </si>
  <si>
    <r>
      <t xml:space="preserve">Friends of King
</t>
    </r>
    <r>
      <rPr>
        <sz val="11"/>
        <rFont val="Futura Lt BT"/>
      </rPr>
      <t>(Joseph A. Craig Charter School)</t>
    </r>
  </si>
  <si>
    <r>
      <t xml:space="preserve">Choice Foundation 
</t>
    </r>
    <r>
      <rPr>
        <sz val="11"/>
        <rFont val="Futura Lt BT"/>
        <family val="2"/>
      </rPr>
      <t>(Esperanza Charter School)</t>
    </r>
  </si>
  <si>
    <r>
      <t xml:space="preserve">Choice Foundation 
</t>
    </r>
    <r>
      <rPr>
        <sz val="11"/>
        <rFont val="Futura Lt BT"/>
        <family val="2"/>
      </rPr>
      <t xml:space="preserve"> (McDonogh #42)</t>
    </r>
  </si>
  <si>
    <r>
      <t xml:space="preserve">ReNew Schools
</t>
    </r>
    <r>
      <rPr>
        <sz val="11"/>
        <rFont val="Futura Lt BT"/>
        <family val="2"/>
      </rPr>
      <t>(ReNew Cultural Arts Academy)</t>
    </r>
  </si>
  <si>
    <r>
      <t xml:space="preserve">ReNew Schools
</t>
    </r>
    <r>
      <rPr>
        <sz val="11"/>
        <rFont val="Futura Lt BT"/>
        <family val="2"/>
      </rPr>
      <t>(ReNew SciTech Academy )</t>
    </r>
  </si>
  <si>
    <t>ReNew Schools*
(Delores T. Aaron Elementary)</t>
  </si>
  <si>
    <r>
      <t xml:space="preserve">Firstline Schools, Inc.
</t>
    </r>
    <r>
      <rPr>
        <sz val="11"/>
        <rFont val="Futura Lt BT"/>
        <family val="2"/>
      </rPr>
      <t>(Arthur Ashe Charter School)</t>
    </r>
  </si>
  <si>
    <r>
      <t xml:space="preserve">Collegiate Academies
</t>
    </r>
    <r>
      <rPr>
        <sz val="11"/>
        <rFont val="Futura Lt BT"/>
      </rPr>
      <t>(Sci Academy)</t>
    </r>
  </si>
  <si>
    <r>
      <t xml:space="preserve">New Beginnings, UNO 
</t>
    </r>
    <r>
      <rPr>
        <sz val="11"/>
        <rFont val="Futura Lt BT"/>
        <family val="2"/>
      </rPr>
      <t>(Pierra A. Capdau Learning Academy)</t>
    </r>
  </si>
  <si>
    <r>
      <t>New Beginnings, UNO
(</t>
    </r>
    <r>
      <rPr>
        <sz val="11"/>
        <rFont val="Futura Lt BT"/>
        <family val="2"/>
      </rPr>
      <t>Gentilly Terrace Charter School)</t>
    </r>
  </si>
  <si>
    <r>
      <t xml:space="preserve">Educators for Quality Alternatives 
</t>
    </r>
    <r>
      <rPr>
        <sz val="11"/>
        <rFont val="Futura Lt BT"/>
      </rPr>
      <t>(The NET Charter School)</t>
    </r>
  </si>
  <si>
    <r>
      <t xml:space="preserve">Future is Now
</t>
    </r>
    <r>
      <rPr>
        <sz val="11"/>
        <rFont val="Futura Lt BT"/>
      </rPr>
      <t>(John McDonogh Senior H.S.)</t>
    </r>
  </si>
  <si>
    <r>
      <t xml:space="preserve">Crescent City Schools, Inc.
</t>
    </r>
    <r>
      <rPr>
        <sz val="11"/>
        <rFont val="Futura Lt BT"/>
      </rPr>
      <t>(Crescent City School)(Tubman)</t>
    </r>
  </si>
  <si>
    <r>
      <t xml:space="preserve">Crescent City Schools
</t>
    </r>
    <r>
      <rPr>
        <sz val="11"/>
        <rFont val="Futura Lt BT"/>
      </rPr>
      <t>(Paul B. Habans)</t>
    </r>
  </si>
  <si>
    <r>
      <t xml:space="preserve">Crescent Leadership Academy
</t>
    </r>
    <r>
      <rPr>
        <sz val="11"/>
        <rFont val="Futura Lt BT"/>
      </rPr>
      <t>(Crescent Leadership Acad./Schwarz)</t>
    </r>
    <r>
      <rPr>
        <sz val="10"/>
        <rFont val="Futura Lt BT"/>
        <family val="2"/>
      </rPr>
      <t xml:space="preserve">
</t>
    </r>
    <r>
      <rPr>
        <sz val="10"/>
        <color rgb="FFFF0000"/>
        <rFont val="Futura Lt BT"/>
        <family val="2"/>
      </rPr>
      <t>Not in a District Building</t>
    </r>
  </si>
  <si>
    <r>
      <t xml:space="preserve">Comm. Leaders Adv. Student Suc
</t>
    </r>
    <r>
      <rPr>
        <sz val="11"/>
        <rFont val="Futura Lt BT"/>
      </rPr>
      <t>(Fannie C. Williams)</t>
    </r>
  </si>
  <si>
    <r>
      <t xml:space="preserve">Lagniappe Academies, Inc.
</t>
    </r>
    <r>
      <rPr>
        <sz val="11"/>
        <rFont val="Futura Lt BT"/>
      </rPr>
      <t>(Lagniappe Academies)</t>
    </r>
    <r>
      <rPr>
        <sz val="12"/>
        <rFont val="Futura Lt BT"/>
        <family val="2"/>
      </rPr>
      <t xml:space="preserve">
</t>
    </r>
    <r>
      <rPr>
        <sz val="12"/>
        <color rgb="FFFF0000"/>
        <rFont val="Futura Lt BT"/>
        <family val="2"/>
      </rPr>
      <t>Not in a District Building</t>
    </r>
  </si>
  <si>
    <r>
      <t xml:space="preserve">ReNew Schools*
</t>
    </r>
    <r>
      <rPr>
        <sz val="11"/>
        <rFont val="Futura Lt BT"/>
      </rPr>
      <t>(Delores T. Aaron Elementary)</t>
    </r>
  </si>
  <si>
    <r>
      <t xml:space="preserve">ReNew Schools*
</t>
    </r>
    <r>
      <rPr>
        <sz val="11"/>
        <rFont val="Futura Lt BT"/>
      </rPr>
      <t>(ReNew Accel. H.S., City Park)</t>
    </r>
  </si>
  <si>
    <r>
      <t xml:space="preserve">ReNew Schools*
</t>
    </r>
    <r>
      <rPr>
        <sz val="11"/>
        <rFont val="Futura Lt BT"/>
      </rPr>
      <t>(ReNew Accel. H.S., West Bank)</t>
    </r>
  </si>
  <si>
    <r>
      <t xml:space="preserve">N. O. College Prep Academies
</t>
    </r>
    <r>
      <rPr>
        <sz val="11"/>
        <rFont val="Futura Lt BT"/>
      </rPr>
      <t>(Cohen College Prep)</t>
    </r>
  </si>
  <si>
    <r>
      <t xml:space="preserve">N. O. College Prep Academies
</t>
    </r>
    <r>
      <rPr>
        <sz val="11"/>
        <rFont val="Futura Lt BT"/>
      </rPr>
      <t>(Crocker College Prep)</t>
    </r>
  </si>
  <si>
    <r>
      <t xml:space="preserve">Friends of King
</t>
    </r>
    <r>
      <rPr>
        <sz val="11"/>
        <rFont val="Futura Lt BT"/>
      </rPr>
      <t>(Joseph A. Craig)</t>
    </r>
  </si>
  <si>
    <r>
      <t xml:space="preserve">Choice Foundation 
</t>
    </r>
    <r>
      <rPr>
        <sz val="11"/>
        <rFont val="Futura Lt BT"/>
        <family val="2"/>
      </rPr>
      <t>(McDonogh #42)</t>
    </r>
  </si>
  <si>
    <r>
      <t xml:space="preserve">New Orleans Charter School Fdtn.
</t>
    </r>
    <r>
      <rPr>
        <sz val="11"/>
        <rFont val="Futura Lt BT"/>
        <family val="2"/>
      </rPr>
      <t>(Mc #28 City Park)</t>
    </r>
  </si>
  <si>
    <r>
      <t xml:space="preserve">Broadmoor Charter
</t>
    </r>
    <r>
      <rPr>
        <sz val="11"/>
        <rFont val="Futura Lt BT"/>
        <family val="2"/>
      </rPr>
      <t>(Andrew H. Wilson Charter School)</t>
    </r>
  </si>
  <si>
    <r>
      <t xml:space="preserve">Algiers Charter School Assoc.
</t>
    </r>
    <r>
      <rPr>
        <sz val="11"/>
        <rFont val="Futura Lt BT"/>
        <family val="2"/>
      </rPr>
      <t>(McDonogh #32)</t>
    </r>
  </si>
  <si>
    <t xml:space="preserve">State Share
Allocation
Base Amount
+
Continuation 
of Pay Raises
</t>
  </si>
  <si>
    <t>MFP 
Special
Education
Students
Level 1</t>
  </si>
  <si>
    <t>MFP Special
Education
Funding
Level 1</t>
  </si>
  <si>
    <t>MFP 
Special
Education
Students
Level 2</t>
  </si>
  <si>
    <t>MFP Special
Education
Funding
Level 2</t>
  </si>
  <si>
    <t>MFP 
Special
Education
Students
Level 3</t>
  </si>
  <si>
    <t>MFP Special
Education
Funding
Level 3</t>
  </si>
  <si>
    <t>Special 
Education
Total
Allocation</t>
  </si>
  <si>
    <t xml:space="preserve">State Share 
Allocation 
Base Amount
+ 
Continuation 
of Pay Raises 
+ 
Special Ed
Allocation
</t>
  </si>
  <si>
    <r>
      <t xml:space="preserve">October 1
Mid-Year
Allocation
</t>
    </r>
    <r>
      <rPr>
        <sz val="10"/>
        <color indexed="18"/>
        <rFont val="Arial"/>
        <family val="2"/>
      </rPr>
      <t>(per October 1 Mid-Year
Adjustment,
Column 9)</t>
    </r>
  </si>
  <si>
    <t>Change 
in 
Funded
Student 
Count</t>
  </si>
  <si>
    <t>Adjustment
for
Differentiated
Funding
per
Pupil</t>
  </si>
  <si>
    <t>Total
October 1
Mid-Year
Adjustment</t>
  </si>
  <si>
    <r>
      <t xml:space="preserve">Total
Feb. 1
Mid-Year
Allocation
</t>
    </r>
    <r>
      <rPr>
        <sz val="10"/>
        <color indexed="18"/>
        <rFont val="Arial"/>
        <family val="2"/>
      </rPr>
      <t>(per Feb. 1 
Mid-Year
Adjustment,
Column 9)</t>
    </r>
  </si>
  <si>
    <t>State Share 
Allocation 
Base Amount
+ 
Continuation 
of Pay Raises 
+ 
Special Ed 
Allocation
+/-
Mid-year
Adjustments
for 
Students</t>
  </si>
  <si>
    <t>Final Special 
Education Allocation</t>
  </si>
  <si>
    <t>Mid-Year Adjustment for Students (State Portion)</t>
  </si>
  <si>
    <t>State Audit Adjustments</t>
  </si>
  <si>
    <t>State Share 
Allocation 
Base Amount
+ 
Continuation 
of Pay Raises 
+ 
Special Ed 
Allocation
+/-
Mid-year
Adjustments
+/-
Admin. Fee
+/-
State Audit 
Adjustments</t>
  </si>
  <si>
    <r>
      <t xml:space="preserve">Final
Local Share 
Allocation 
Base Amount
</t>
    </r>
    <r>
      <rPr>
        <sz val="10"/>
        <color indexed="18"/>
        <rFont val="Arial"/>
        <family val="2"/>
      </rPr>
      <t>(In a District Building)</t>
    </r>
  </si>
  <si>
    <r>
      <t xml:space="preserve">Final
Local Share 
Allocation 
Base Amount
</t>
    </r>
    <r>
      <rPr>
        <sz val="10"/>
        <color indexed="18"/>
        <rFont val="Arial"/>
        <family val="2"/>
      </rPr>
      <t>(Not In a District Building)</t>
    </r>
  </si>
  <si>
    <t>October 1
Change
in
Funded
Student
Count</t>
  </si>
  <si>
    <t>October 1
Mid-year
Adjustment
(Local Portion)</t>
  </si>
  <si>
    <t>February 1
Change
in 
Funded
Count</t>
  </si>
  <si>
    <r>
      <t xml:space="preserve">February 1
Mid-Year
Allocation
</t>
    </r>
    <r>
      <rPr>
        <sz val="10"/>
        <color indexed="18"/>
        <rFont val="Arial"/>
        <family val="2"/>
      </rPr>
      <t>(one-half
the
per-pupil
amount)</t>
    </r>
  </si>
  <si>
    <t>Total
Mid-Year
Adjustment
for
Students</t>
  </si>
  <si>
    <t>Mid-Year Adjustment for Students (Local Portion)</t>
  </si>
  <si>
    <t xml:space="preserve">Local Share 
Allocation 
Base Amount
+/-
Mid-Year
Adjustment
for Students
</t>
  </si>
  <si>
    <t>Administrative Fee</t>
  </si>
  <si>
    <t>Local Share 
Allocation 
Base Amount
+/-
Mid-Year 
Adjustment
for Students
+/-
Admin. Fee</t>
  </si>
  <si>
    <t>Local Audit Adjustments</t>
  </si>
  <si>
    <t>Local Share 
Allocation 
Base Amount
+/-
Mid-Year
Adjustment
for Students
+/-
Admin. Fee
+/-
Local Audit 
Adjustments</t>
  </si>
  <si>
    <t>Continuation of Prior Year Pay Raises</t>
  </si>
  <si>
    <t>March</t>
  </si>
  <si>
    <t>July</t>
  </si>
  <si>
    <t>School System</t>
  </si>
  <si>
    <t>Oct. 1, 2013
MFP 
Membership
(Actual 
SIS Data)</t>
  </si>
  <si>
    <t>Feb. 1, 2014
MFP 
Membership
(Actual 
SIS Data)</t>
  </si>
  <si>
    <t>Change 
in 
MFP Funded 
Count 
Oct. 1, 2013
 to 
Feb. 1, 2014</t>
  </si>
  <si>
    <t>Increases
in
MFP
Funded
Count</t>
  </si>
  <si>
    <t>Decreases
in
MFP
Funded 
Count</t>
  </si>
  <si>
    <r>
      <t xml:space="preserve">Per Pupil 
Amount 
(Levels 1, 
2 &amp;3)
per 
FY2013-14
Budget 
Letter
</t>
    </r>
    <r>
      <rPr>
        <sz val="11"/>
        <color indexed="10"/>
        <rFont val="Arial"/>
        <family val="2"/>
      </rPr>
      <t>(without
 Pay Raise 
Continuation)</t>
    </r>
  </si>
  <si>
    <t>Per Pupil
Amount 
 for
Contin-
uation
of
Prior
Year
Pay 
Raises</t>
  </si>
  <si>
    <r>
      <t xml:space="preserve">Total
 Per Pupil
Amount 
Funded
</t>
    </r>
    <r>
      <rPr>
        <sz val="11"/>
        <color indexed="10"/>
        <rFont val="Arial"/>
        <family val="2"/>
      </rPr>
      <t xml:space="preserve">
(One-Half of
Levels 1, 2 &amp; 3
plus 
Prior Year
 Pay Raise)</t>
    </r>
  </si>
  <si>
    <r>
      <t xml:space="preserve">Change in
MFP Funded
Count
Times
Per Pupil 
Amount
</t>
    </r>
    <r>
      <rPr>
        <sz val="11"/>
        <color indexed="10"/>
        <rFont val="Arial"/>
        <family val="2"/>
      </rPr>
      <t>(Levels 1, 2 &amp; 3 
plus
 Prior Year
Pay Raise)</t>
    </r>
  </si>
  <si>
    <t>Increases
in
MFP
Funded
Amount</t>
  </si>
  <si>
    <t>Decreases
in
MFP
Amount</t>
  </si>
  <si>
    <t>SIS 
Data</t>
  </si>
  <si>
    <t>Col. (2) - 
Col. (1)</t>
  </si>
  <si>
    <t>Increases
 in Col. 3</t>
  </si>
  <si>
    <t>Decreases in Col. 3</t>
  </si>
  <si>
    <t>Table 3 
Col. (29)</t>
  </si>
  <si>
    <t xml:space="preserve">Table 4 
Col. (14) </t>
  </si>
  <si>
    <t xml:space="preserve">Col. (6) +
Col. (7) </t>
  </si>
  <si>
    <t>Col. (3) x Col. (8)</t>
  </si>
  <si>
    <t>Increases in
Column 9</t>
  </si>
  <si>
    <t>Decreases in
Column 9</t>
  </si>
  <si>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</si>
  <si>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</si>
  <si>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</si>
  <si>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</si>
  <si>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</si>
  <si>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</si>
  <si>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</si>
  <si>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</si>
  <si>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</si>
  <si>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Calcasieu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</si>
  <si>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</si>
  <si>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</si>
  <si>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</si>
  <si>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</si>
  <si>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</si>
  <si>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</si>
  <si>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</si>
  <si>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</si>
  <si>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</si>
  <si>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</si>
  <si>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</si>
  <si>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</si>
  <si>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</si>
  <si>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</si>
  <si>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</si>
  <si>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</si>
  <si>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>Jefferson Davis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</si>
  <si>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</si>
  <si>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</si>
  <si>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</si>
  <si>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</si>
  <si>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</si>
  <si>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</si>
  <si>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</si>
  <si>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</si>
  <si>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Orleans Parish School Board</t>
  </si>
  <si>
    <t>Ouachita Parish School Board</t>
  </si>
  <si>
    <t>Plaquemines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</si>
  <si>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</si>
  <si>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</si>
  <si>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</si>
  <si>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</si>
  <si>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</si>
  <si>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</t>
  </si>
  <si>
    <t>St. Charles Parish School Board</t>
  </si>
  <si>
    <t>St. Helena Parish School Board</t>
  </si>
  <si>
    <t>St. James Parish School Board</t>
  </si>
  <si>
    <t>St. John the Baptist Parish School Board</t>
  </si>
  <si>
    <t>St. Landry Parish School Board</t>
  </si>
  <si>
    <t>St. Martin Parish School Board</t>
  </si>
  <si>
    <t>St. Mary Parish School Board</t>
  </si>
  <si>
    <t>St. Tammany Parish School Board</t>
  </si>
  <si>
    <t>Tangipahoa Parish School Board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</si>
  <si>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</si>
  <si>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</si>
  <si>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</si>
  <si>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</si>
  <si>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</si>
  <si>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</si>
  <si>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</si>
  <si>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</si>
  <si>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</si>
  <si>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</si>
  <si>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</si>
  <si>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</si>
  <si>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</t>
  </si>
  <si>
    <t>Zachary Community School Board</t>
  </si>
  <si>
    <t>City of Baker School Board</t>
  </si>
  <si>
    <t>Central Community School Board</t>
  </si>
  <si>
    <t>City/Parish LEA TOTALS</t>
  </si>
  <si>
    <t>LSU Lab School</t>
  </si>
  <si>
    <t>Southern Lab School</t>
  </si>
  <si>
    <t>Total Lab Schools</t>
  </si>
  <si>
    <t>Total LA School for Math, Science and the Arts (LSMSA)</t>
  </si>
  <si>
    <t>Total New Orleans Center for Creative Arts (NOCCA)</t>
  </si>
  <si>
    <t>New Vision Learning (City of Monroe)</t>
  </si>
  <si>
    <t>Glencoe Charter School (St. Mary Parish)</t>
  </si>
  <si>
    <t>International School of LA (Orleans Parish)</t>
  </si>
  <si>
    <t>International School of LA (Orleans Parish) (Not in a District Building)</t>
  </si>
  <si>
    <t>Avoyelles Public Charter School (Avoyelles Parish)</t>
  </si>
  <si>
    <t>Delhi Charter School (Richland Parish)</t>
  </si>
  <si>
    <t>Belle Chasse Academy (Plaquemines Parish)</t>
  </si>
  <si>
    <t>Milestone SABIS Academy (Orleans Parish)</t>
  </si>
  <si>
    <t>Maxine Giardina (Lafourche Parish)</t>
  </si>
  <si>
    <t>Total Legacy Type 2 Charter Schools</t>
  </si>
  <si>
    <t>Total Madison Prep (CSAL) (Type 2 in MFP)</t>
  </si>
  <si>
    <t>Total D'Arbonne Woods (Type 2 in MFP)</t>
  </si>
  <si>
    <t>Total Int'l High School of N. O. (Type 2 in MFP)</t>
  </si>
  <si>
    <t>Total New Orleans Military/Maritime Admy (Type 2 in MFP)</t>
  </si>
  <si>
    <t>Total Lycee Francois de la Nouvelle Orleans (Type 2 in MFP)</t>
  </si>
  <si>
    <t>Total Lake Charles Charter Academy (Type 2 in MFP)</t>
  </si>
  <si>
    <t>Total J. S. Clark Leadership Academy (Type 2 in MFP)</t>
  </si>
  <si>
    <t>Total Southwest LA Charter School (Type 2 in MFP)</t>
  </si>
  <si>
    <t>3A7</t>
  </si>
  <si>
    <t>Louisiana Key Academy (Type 2 in MFP)</t>
  </si>
  <si>
    <t>3A1</t>
  </si>
  <si>
    <t>Jefferson Chamber Foundation (Type 2 in MFP)</t>
  </si>
  <si>
    <t>3A2</t>
  </si>
  <si>
    <t xml:space="preserve">Tallulah Charter School </t>
  </si>
  <si>
    <t>3A6</t>
  </si>
  <si>
    <t>Northshore Charter School (Type 2 in MFP)</t>
  </si>
  <si>
    <t>3A3</t>
  </si>
  <si>
    <t>Baton Rouge Charter Academy at Mid-City (Type 2 in MFP)</t>
  </si>
  <si>
    <t>3A4</t>
  </si>
  <si>
    <t>Delta Charter School (Type 2 in MFP)</t>
  </si>
  <si>
    <t>Louisiana Virtual Charter Academy (LAVCA)</t>
  </si>
  <si>
    <t xml:space="preserve">Louisiana Connections Academy </t>
  </si>
  <si>
    <t>Recovery School District - Orleans (RSD Orleans Operated)</t>
  </si>
  <si>
    <t>St. Helena Middle ((RSD LA Operated)</t>
  </si>
  <si>
    <t>Linear Middle School/Caddo Parish (RSD LA Operated)</t>
  </si>
  <si>
    <t>Capitol High School  (RSD LA Operated)</t>
  </si>
  <si>
    <t>Istrouma High School (RSD LA Operated)</t>
  </si>
  <si>
    <t>Glen Oaks Middle (RSD LA Operated)</t>
  </si>
  <si>
    <t>Prescott Middle (RSD LA Operated)</t>
  </si>
  <si>
    <t>Pointe Coupee Central High (RSD LA Operated)</t>
  </si>
  <si>
    <t>Dalton Elementary (RSD LA Operated)</t>
  </si>
  <si>
    <t>Lanier Elementary (RSD LA Operated)</t>
  </si>
  <si>
    <t>Crestworth Middle (RSD LA Operated)</t>
  </si>
  <si>
    <t>Total RSD Operated</t>
  </si>
  <si>
    <t>New Beginnings (P.A Capdau Learning Academy)</t>
  </si>
  <si>
    <t>New Beginnings (Medard Nelson)</t>
  </si>
  <si>
    <t>New Beginnings (Thurgood Marshall Early College HS)</t>
  </si>
  <si>
    <t>New Beginnings (Gentilly Terrace Charter School)</t>
  </si>
  <si>
    <t>Educators for Quality Alternatives 
(The NET Charter School)
Not in a District Building</t>
  </si>
  <si>
    <t>Crescent Leadership Academy
(Crescent Leadership Acad./Schwarz)
Not in a District Building</t>
  </si>
  <si>
    <t>Crescent City Schools (Harriet Tubman)</t>
  </si>
  <si>
    <t>Crescent City Schools (Paul B. Habans)</t>
  </si>
  <si>
    <t>Comm. Leaders Adv. Student Success (Fannie C. Williams)</t>
  </si>
  <si>
    <t>Lagniappe Academies, Inc.
(Lagniappe Academies)
Not in a District Building</t>
  </si>
  <si>
    <t>Spirit of Excellence Academy (Spirit of Exc. Academy)(Harney)</t>
  </si>
  <si>
    <t>Morris Jeff. Community Sch, Inc.
(Morris Jeff. Community School)
Not in a District Building</t>
  </si>
  <si>
    <t>ReNew Schools (ReNew Cultural Arts Academy)</t>
  </si>
  <si>
    <t>ReNew Schools (ReNew SciTech Academy)</t>
  </si>
  <si>
    <t>ReNew Schools (ReNew Delors T. Aaron)</t>
  </si>
  <si>
    <t>ReNew Schools (ReNew Accel. H.S., City Park)</t>
  </si>
  <si>
    <t>ReNew Schools (ReNew Accel. H.S., West Bank)</t>
  </si>
  <si>
    <t>ReNew Schools
(Schaumberg)</t>
  </si>
  <si>
    <t>Arise Academy
(Arise Academy)</t>
  </si>
  <si>
    <t>(Arise Academy( (Mildred Osborne Charter)</t>
  </si>
  <si>
    <t>Success Preparatory Academy (Success Prep)</t>
  </si>
  <si>
    <t>Crescent City Schools (Akili Academy)</t>
  </si>
  <si>
    <t>Collegiate Academies (Sci Academy)</t>
  </si>
  <si>
    <t>Collegiate Academies (G.W. Carver Collegiate Academy)</t>
  </si>
  <si>
    <t>Collegiate Academies (G.W. Carver Preparatory Academy)</t>
  </si>
  <si>
    <t>Miller-McCoy Academy (Miller-McCoy Academy)</t>
  </si>
  <si>
    <t>N.O. College Prep Academies (Sylvanie Williams College Prep)</t>
  </si>
  <si>
    <t>N.O. College Prep (Cohen College Prep)</t>
  </si>
  <si>
    <t>N.O. College Prep (Crocker College Prep)</t>
  </si>
  <si>
    <t>Broadmoor Charter
 (Andrew H. Wilson/Mc #7)</t>
  </si>
  <si>
    <t>Dryades YMCA
(James M. Singleton Charter Middle)
Not in a District Building</t>
  </si>
  <si>
    <t>Friends of King  (Martin Luther King Elem.)</t>
  </si>
  <si>
    <t>Friends of King (Joseph A. Craig)</t>
  </si>
  <si>
    <t>New Orleans Charter School Fdtn.
 (Mc #28 City Park)</t>
  </si>
  <si>
    <t>Choice Foundation (Lafayette Academy)</t>
  </si>
  <si>
    <t>Choice Foundation (Esperanza Charter School)</t>
  </si>
  <si>
    <t>Choice Foundation  (McDonogh #42)</t>
  </si>
  <si>
    <t>Algiers Charter School Assoc. 
(Martin Behrman)</t>
  </si>
  <si>
    <t>Algiers Charter School Assoc. 
(Dwight D. Eisenhower)</t>
  </si>
  <si>
    <t>Algiers Charter School Assoc. 
(William J. Fischer)</t>
  </si>
  <si>
    <t>Algiers Charter School Assoc.
 (McDonogh #32)</t>
  </si>
  <si>
    <t>Algiers Charter School Assoc. (Landry-Walker Sr. High)</t>
  </si>
  <si>
    <t>Algiers Charter School Assoc. (Algiers Technology Academy)</t>
  </si>
  <si>
    <t>Instititute of Academic Excellence (Sophie B. Wright)</t>
  </si>
  <si>
    <t>KIPP New Orleans
(Edward Phillips/Kipp Believe)</t>
  </si>
  <si>
    <t>KIPP New Orleans
(McDonogh #15)</t>
  </si>
  <si>
    <t>KIPP New Orleans
(KIPP Central City Academy)</t>
  </si>
  <si>
    <t>KIPP New Orleans, Inc.
(Kipp Central City Primary)</t>
  </si>
  <si>
    <t>KIPP New Orleans, Inc.
(Kipp Renaissance High School)</t>
  </si>
  <si>
    <t>KIPP New Orleans, Inc.
Kipp N. O. Leadership Academy)</t>
  </si>
  <si>
    <t>Firstline Schools, Inc.
(Samuel J. Green)</t>
  </si>
  <si>
    <t>Firstline Schools, Inc. (Arthur Ashe Charter School+)</t>
  </si>
  <si>
    <t>Firstline Schools, Inc.* (Joseph Clark High School)</t>
  </si>
  <si>
    <t>Firstline Schools, Inc. (John Dibert Community School)</t>
  </si>
  <si>
    <t>Firstline Schools, Inc. (Langston Hughes Academy)</t>
  </si>
  <si>
    <t>Better Choice Foundation (Mary Dora Coghill Accelerated)</t>
  </si>
  <si>
    <t>TOTAL RSD Orleans (Chartered only)</t>
  </si>
  <si>
    <t>Pelican Foundation (Kenilworth Middle)</t>
  </si>
  <si>
    <t>Total Type 5 Charters - EBR</t>
  </si>
  <si>
    <t>Linwood Middle School</t>
  </si>
  <si>
    <t>Total Type 5 Charters - Caddo</t>
  </si>
  <si>
    <t>Office of Juvenile Justice</t>
  </si>
  <si>
    <t>Total Statewide</t>
  </si>
  <si>
    <t>**OJJ originally funded on estimated 09/10 ADM; updated to final 09/10 ADM</t>
  </si>
  <si>
    <t>TOTAL 69 LEAS and RSD</t>
  </si>
  <si>
    <t>Type 2's in the MFP (Includes 1st year Type 2 Charters and Legacy Type 2's)</t>
  </si>
  <si>
    <t>Lab Schools, LSMSA and NOCCA</t>
  </si>
  <si>
    <t>SSD</t>
  </si>
  <si>
    <t>LSDVI</t>
  </si>
  <si>
    <t>=</t>
  </si>
  <si>
    <t>OJJ</t>
  </si>
  <si>
    <t>Belle Chasse Local portion for students living on base</t>
  </si>
  <si>
    <r>
      <t xml:space="preserve">Intitial
 MFP 
Funded
Membership 
</t>
    </r>
    <r>
      <rPr>
        <sz val="11"/>
        <color indexed="10"/>
        <rFont val="Arial"/>
        <family val="2"/>
      </rPr>
      <t>(based on 
2.1.13
SIS Data 
and Initial 
Projections)</t>
    </r>
  </si>
  <si>
    <t xml:space="preserve">
Oct. 1, 2013
MFP 
Membership
(Actual 
SIS Data)</t>
  </si>
  <si>
    <t>Change 
in 
MFP Funded 
Count 
Feb. 1, 2013
 to 
Oct. 1, 2013</t>
  </si>
  <si>
    <r>
      <t xml:space="preserve">Total
 Per Pupil
Amount 
Funded
</t>
    </r>
    <r>
      <rPr>
        <sz val="11"/>
        <color indexed="10"/>
        <rFont val="Arial"/>
        <family val="2"/>
      </rPr>
      <t>(Levels 1, 2 &amp; 3
plus 
Prior Year
 Pay Raise)</t>
    </r>
  </si>
  <si>
    <t xml:space="preserve"> MFP Budget Letter</t>
  </si>
  <si>
    <t>New Beginnings, UNO 
(Capdau without Early College H.S.)</t>
  </si>
  <si>
    <t>New Beginnings, UNO 
(Medard Nelson)</t>
  </si>
  <si>
    <t>New Beginnings, UNO
(Thurgood Marshall Early College HS)</t>
  </si>
  <si>
    <t>New Beginnings, UNO
Gentilly Terrace Charter School</t>
  </si>
  <si>
    <t>Spirit of Excellence Academy
(Spirit of Exc. Academy)(Harney)</t>
  </si>
  <si>
    <t>ReNew Schools*(ReNew Delores T. Aaron)</t>
  </si>
  <si>
    <t>Arise Academy (Arise Academy)</t>
  </si>
  <si>
    <t>Arise Academy (Mildred Osborne Elementary School)</t>
  </si>
  <si>
    <t>Crescent City Schools, Inc.
(Akili Academy)</t>
  </si>
  <si>
    <t>Miller-McCoy Academy
(Miller-McCoy Academy)</t>
  </si>
  <si>
    <t>Friends of King 
(Martin Luther King Elem.)</t>
  </si>
  <si>
    <t>Friends of King
(Joseph A. Craig)</t>
  </si>
  <si>
    <t>Choice Foundation
(Lafayette Academy)</t>
  </si>
  <si>
    <t>Choice Foundation  (Esperanza Charter School)</t>
  </si>
  <si>
    <t>Instititute of Academic Excellence,
SUNO  (Sophie B. Wright)</t>
  </si>
  <si>
    <t>Firstline Schools, Inc. (Arthur Ashe Charter School)</t>
  </si>
  <si>
    <t>Firstline Schools, Inc.
(Langston Hughes Academy)</t>
  </si>
  <si>
    <r>
      <t>Audit
Adjustments
FY2013-14
MFP</t>
    </r>
    <r>
      <rPr>
        <sz val="10"/>
        <color indexed="18"/>
        <rFont val="Futura Lt BT"/>
        <family val="2"/>
      </rPr>
      <t xml:space="preserve">
(Includes 
2/1 midyear
 from 
FY2012-13)
</t>
    </r>
    <r>
      <rPr>
        <b/>
        <sz val="12"/>
        <color indexed="18"/>
        <rFont val="Arial"/>
        <family val="2"/>
      </rPr>
      <t>CLOSING
SCHOOLS</t>
    </r>
  </si>
  <si>
    <r>
      <t>Audit
Adjust-
ments
FY2013-14
MFP</t>
    </r>
    <r>
      <rPr>
        <sz val="10"/>
        <color indexed="18"/>
        <rFont val="Futura Lt BT"/>
        <family val="2"/>
      </rPr>
      <t xml:space="preserve">
(Includes 
2/1 midyear
 from 
FY2012-13
</t>
    </r>
    <r>
      <rPr>
        <b/>
        <sz val="12"/>
        <color indexed="18"/>
        <rFont val="Arial"/>
        <family val="2"/>
      </rPr>
      <t>CLOSING
SCHOOLS</t>
    </r>
  </si>
  <si>
    <t>YTD
State
Payments
through
February 2014</t>
  </si>
  <si>
    <t>Balance 
Due
March 2014
through
June 2014</t>
  </si>
  <si>
    <t xml:space="preserve">State
Cost
Allocation
Monthly
Payment
</t>
  </si>
  <si>
    <t>YTD
Local
Payments
through
February 2014</t>
  </si>
  <si>
    <t xml:space="preserve">Local
Monthly
Payment
</t>
  </si>
  <si>
    <t>Combined
State &amp; Local
Monthly
Payment 
Amount</t>
  </si>
  <si>
    <t>Orleans
Local
Payment
to
RSD
(From Orleans Monthly MFP Payment)</t>
  </si>
  <si>
    <t>Orleans
Local
Payment
to
RSD
(Balance due o the RSD from transfer by OPSB)</t>
  </si>
  <si>
    <t>RSD Orleans:  Payment Summary - March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</si>
</sst>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$&quot;#,##0.00"/>
    <numFmt numFmtId="167" formatCode="0_);[Red]\(0\)"/>
  </numFmts>
  <fonts count="6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C00000"/>
      <name val="Futura Lt BT"/>
      <family val="2"/>
    </font>
    <font>
      <sz val="10"/>
      <name val="Futura Lt BT"/>
      <family val="2"/>
    </font>
    <font>
      <sz val="9"/>
      <name val="Futura Lt BT"/>
      <family val="2"/>
    </font>
    <font>
      <sz val="10"/>
      <name val="Arial"/>
      <family val="2"/>
    </font>
    <font>
      <b/>
      <sz val="10"/>
      <color indexed="20"/>
      <name val="Futura Lt BT"/>
      <family val="2"/>
    </font>
    <font>
      <b/>
      <sz val="10"/>
      <color indexed="18"/>
      <name val="Futura Lt BT"/>
      <family val="2"/>
    </font>
    <font>
      <sz val="10"/>
      <color indexed="18"/>
      <name val="Futura Lt BT"/>
      <family val="2"/>
    </font>
    <font>
      <b/>
      <sz val="10"/>
      <color rgb="FF000082"/>
      <name val="Futura Lt BT"/>
      <family val="2"/>
    </font>
    <font>
      <b/>
      <sz val="12"/>
      <name val="Futura Lt BT"/>
      <family val="2"/>
    </font>
    <font>
      <sz val="12"/>
      <name val="Futura Lt BT"/>
      <family val="2"/>
    </font>
    <font>
      <sz val="12"/>
      <color rgb="FFFF0000"/>
      <name val="Futura Lt BT"/>
      <family val="2"/>
    </font>
    <font>
      <b/>
      <sz val="12"/>
      <color indexed="22"/>
      <name val="Futura Lt BT"/>
      <family val="2"/>
    </font>
    <font>
      <b/>
      <sz val="10"/>
      <name val="Futura Lt BT"/>
      <family val="2"/>
    </font>
    <font>
      <sz val="11"/>
      <name val="Futura Lt BT"/>
      <family val="2"/>
    </font>
    <font>
      <sz val="10"/>
      <color rgb="FFFF0000"/>
      <name val="Futura Lt BT"/>
      <family val="2"/>
    </font>
    <font>
      <sz val="11"/>
      <color rgb="FFFF0000"/>
      <name val="Futura Lt BT"/>
      <family val="2"/>
    </font>
    <font>
      <b/>
      <sz val="10.5"/>
      <name val="Futura Lt BT"/>
      <family val="2"/>
    </font>
    <font>
      <b/>
      <sz val="11"/>
      <name val="Futura Lt BT"/>
      <family val="2"/>
    </font>
    <font>
      <sz val="12"/>
      <color indexed="18"/>
      <name val="Futura Lt BT"/>
      <family val="2"/>
    </font>
    <font>
      <sz val="11"/>
      <color rgb="FF000000"/>
      <name val="Calibri"/>
      <family val="2"/>
      <charset val="204"/>
    </font>
    <font>
      <b/>
      <sz val="12"/>
      <name val="Futura Lt BT"/>
    </font>
    <font>
      <b/>
      <sz val="18"/>
      <name val="Futura Lt BT"/>
    </font>
    <font>
      <b/>
      <sz val="10"/>
      <color rgb="FFFF0000"/>
      <name val="Futura Lt BT"/>
    </font>
    <font>
      <sz val="10"/>
      <color rgb="FFFF0000"/>
      <name val="Futura Lt BT"/>
    </font>
    <font>
      <b/>
      <sz val="18"/>
      <name val="Futura Lt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sz val="11"/>
      <name val="Futura Lt BT"/>
    </font>
    <font>
      <sz val="9"/>
      <name val="Arial Narrow"/>
      <family val="2"/>
    </font>
    <font>
      <sz val="10"/>
      <color indexed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color indexed="20"/>
      <name val="Arial"/>
      <family val="2"/>
    </font>
    <font>
      <sz val="11"/>
      <color indexed="20"/>
      <name val="Arial"/>
      <family val="2"/>
    </font>
    <font>
      <sz val="10"/>
      <color indexed="20"/>
      <name val="Arial"/>
      <family val="2"/>
    </font>
    <font>
      <sz val="8"/>
      <name val="Arial"/>
      <family val="2"/>
    </font>
    <font>
      <b/>
      <sz val="11"/>
      <color indexed="1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rgb="FF99CC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4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/>
      <diagonal/>
    </border>
    <border>
      <left style="thin">
        <color indexed="64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double">
        <color indexed="63"/>
      </bottom>
      <diagonal/>
    </border>
    <border>
      <left style="thin">
        <color indexed="63"/>
      </left>
      <right/>
      <top style="thin">
        <color indexed="64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3"/>
      </top>
      <bottom style="thin">
        <color indexed="64"/>
      </bottom>
      <diagonal/>
    </border>
    <border>
      <left/>
      <right/>
      <top style="double">
        <color indexed="63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double">
        <color indexed="63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double">
        <color indexed="63"/>
      </bottom>
      <diagonal/>
    </border>
    <border>
      <left style="thin">
        <color indexed="63"/>
      </left>
      <right/>
      <top style="thin">
        <color indexed="64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double">
        <color indexed="63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0">
    <xf numFmtId="0" fontId="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33" borderId="0" applyNumberFormat="0" applyBorder="0" applyAlignment="0" applyProtection="0"/>
    <xf numFmtId="0" fontId="30" fillId="17" borderId="0" applyNumberFormat="0" applyBorder="0" applyAlignment="0" applyProtection="0"/>
    <xf numFmtId="0" fontId="31" fillId="34" borderId="18" applyNumberFormat="0" applyAlignment="0" applyProtection="0"/>
    <xf numFmtId="0" fontId="32" fillId="35" borderId="19" applyNumberFormat="0" applyAlignment="0" applyProtection="0"/>
    <xf numFmtId="0" fontId="33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7" fillId="0" borderId="22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18" applyNumberFormat="0" applyAlignment="0" applyProtection="0"/>
    <xf numFmtId="0" fontId="39" fillId="0" borderId="23" applyNumberFormat="0" applyFill="0" applyAlignment="0" applyProtection="0"/>
    <xf numFmtId="0" fontId="40" fillId="36" borderId="0" applyNumberFormat="0" applyBorder="0" applyAlignment="0" applyProtection="0"/>
    <xf numFmtId="0" fontId="6" fillId="37" borderId="24" applyNumberFormat="0" applyFont="0" applyAlignment="0" applyProtection="0"/>
    <xf numFmtId="0" fontId="41" fillId="34" borderId="25" applyNumberFormat="0" applyAlignment="0" applyProtection="0"/>
    <xf numFmtId="0" fontId="42" fillId="0" borderId="0" applyNumberFormat="0" applyFill="0" applyBorder="0" applyAlignment="0" applyProtection="0"/>
    <xf numFmtId="0" fontId="43" fillId="0" borderId="26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47">
    <xf numFmtId="0" fontId="0" fillId="0" borderId="0" xfId="0"/>
    <xf numFmtId="0" fontId="4" fillId="0" borderId="0" xfId="0" applyFont="1"/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Fill="1"/>
    <xf numFmtId="0" fontId="5" fillId="0" borderId="0" xfId="0" quotePrefix="1" applyFont="1" applyAlignment="1">
      <alignment horizontal="center" wrapText="1"/>
    </xf>
    <xf numFmtId="0" fontId="8" fillId="6" borderId="7" xfId="0" applyFont="1" applyFill="1" applyBorder="1" applyAlignment="1">
      <alignment horizontal="center" vertical="center" wrapText="1"/>
    </xf>
    <xf numFmtId="10" fontId="8" fillId="7" borderId="9" xfId="0" applyNumberFormat="1" applyFont="1" applyFill="1" applyBorder="1" applyAlignment="1">
      <alignment horizontal="center" vertical="center" wrapText="1"/>
    </xf>
    <xf numFmtId="0" fontId="4" fillId="8" borderId="9" xfId="0" applyFont="1" applyFill="1" applyBorder="1"/>
    <xf numFmtId="1" fontId="7" fillId="8" borderId="9" xfId="0" quotePrefix="1" applyNumberFormat="1" applyFont="1" applyFill="1" applyBorder="1" applyAlignment="1">
      <alignment horizontal="center"/>
    </xf>
    <xf numFmtId="3" fontId="12" fillId="0" borderId="8" xfId="0" applyNumberFormat="1" applyFont="1" applyFill="1" applyBorder="1"/>
    <xf numFmtId="6" fontId="12" fillId="0" borderId="8" xfId="0" applyNumberFormat="1" applyFont="1" applyBorder="1"/>
    <xf numFmtId="6" fontId="12" fillId="5" borderId="8" xfId="0" applyNumberFormat="1" applyFont="1" applyFill="1" applyBorder="1"/>
    <xf numFmtId="0" fontId="4" fillId="0" borderId="8" xfId="0" applyFont="1" applyBorder="1" applyAlignment="1">
      <alignment wrapText="1"/>
    </xf>
    <xf numFmtId="0" fontId="12" fillId="0" borderId="8" xfId="0" applyFont="1" applyBorder="1" applyAlignment="1">
      <alignment wrapText="1"/>
    </xf>
    <xf numFmtId="3" fontId="12" fillId="9" borderId="8" xfId="0" applyNumberFormat="1" applyFont="1" applyFill="1" applyBorder="1"/>
    <xf numFmtId="6" fontId="12" fillId="9" borderId="8" xfId="0" applyNumberFormat="1" applyFont="1" applyFill="1" applyBorder="1"/>
    <xf numFmtId="0" fontId="4" fillId="10" borderId="3" xfId="0" applyFont="1" applyFill="1" applyBorder="1"/>
    <xf numFmtId="0" fontId="15" fillId="0" borderId="8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38" fontId="12" fillId="9" borderId="10" xfId="0" applyNumberFormat="1" applyFont="1" applyFill="1" applyBorder="1" applyAlignment="1">
      <alignment wrapText="1"/>
    </xf>
    <xf numFmtId="6" fontId="12" fillId="0" borderId="10" xfId="0" applyNumberFormat="1" applyFont="1" applyBorder="1"/>
    <xf numFmtId="6" fontId="12" fillId="5" borderId="10" xfId="0" applyNumberFormat="1" applyFont="1" applyFill="1" applyBorder="1"/>
    <xf numFmtId="6" fontId="12" fillId="9" borderId="10" xfId="0" applyNumberFormat="1" applyFont="1" applyFill="1" applyBorder="1"/>
    <xf numFmtId="6" fontId="12" fillId="5" borderId="9" xfId="0" applyNumberFormat="1" applyFont="1" applyFill="1" applyBorder="1"/>
    <xf numFmtId="0" fontId="4" fillId="0" borderId="11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left" wrapText="1"/>
    </xf>
    <xf numFmtId="38" fontId="12" fillId="9" borderId="11" xfId="0" applyNumberFormat="1" applyFont="1" applyFill="1" applyBorder="1" applyAlignment="1">
      <alignment wrapText="1"/>
    </xf>
    <xf numFmtId="6" fontId="12" fillId="0" borderId="11" xfId="0" applyNumberFormat="1" applyFont="1" applyBorder="1"/>
    <xf numFmtId="6" fontId="12" fillId="5" borderId="11" xfId="0" applyNumberFormat="1" applyFont="1" applyFill="1" applyBorder="1"/>
    <xf numFmtId="6" fontId="12" fillId="9" borderId="11" xfId="0" applyNumberFormat="1" applyFont="1" applyFill="1" applyBorder="1"/>
    <xf numFmtId="0" fontId="4" fillId="9" borderId="11" xfId="0" applyFont="1" applyFill="1" applyBorder="1" applyAlignment="1">
      <alignment horizontal="left" wrapText="1"/>
    </xf>
    <xf numFmtId="0" fontId="12" fillId="9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left" wrapText="1"/>
    </xf>
    <xf numFmtId="38" fontId="12" fillId="0" borderId="12" xfId="0" applyNumberFormat="1" applyFont="1" applyFill="1" applyBorder="1" applyAlignment="1">
      <alignment wrapText="1"/>
    </xf>
    <xf numFmtId="6" fontId="12" fillId="0" borderId="12" xfId="0" applyNumberFormat="1" applyFont="1" applyBorder="1"/>
    <xf numFmtId="6" fontId="12" fillId="5" borderId="12" xfId="0" applyNumberFormat="1" applyFont="1" applyFill="1" applyBorder="1"/>
    <xf numFmtId="6" fontId="12" fillId="9" borderId="12" xfId="0" applyNumberFormat="1" applyFont="1" applyFill="1" applyBorder="1"/>
    <xf numFmtId="3" fontId="12" fillId="0" borderId="10" xfId="0" applyNumberFormat="1" applyFont="1" applyFill="1" applyBorder="1"/>
    <xf numFmtId="3" fontId="12" fillId="0" borderId="11" xfId="0" applyNumberFormat="1" applyFont="1" applyFill="1" applyBorder="1"/>
    <xf numFmtId="0" fontId="4" fillId="10" borderId="11" xfId="0" applyFont="1" applyFill="1" applyBorder="1" applyAlignment="1">
      <alignment horizontal="left" wrapText="1"/>
    </xf>
    <xf numFmtId="0" fontId="12" fillId="10" borderId="11" xfId="0" applyFont="1" applyFill="1" applyBorder="1" applyAlignment="1">
      <alignment horizontal="left" wrapText="1"/>
    </xf>
    <xf numFmtId="38" fontId="12" fillId="10" borderId="11" xfId="0" applyNumberFormat="1" applyFont="1" applyFill="1" applyBorder="1" applyAlignment="1">
      <alignment wrapText="1"/>
    </xf>
    <xf numFmtId="0" fontId="4" fillId="9" borderId="12" xfId="0" applyFont="1" applyFill="1" applyBorder="1" applyAlignment="1">
      <alignment horizontal="left" wrapText="1"/>
    </xf>
    <xf numFmtId="0" fontId="12" fillId="9" borderId="12" xfId="0" applyFont="1" applyFill="1" applyBorder="1" applyAlignment="1">
      <alignment horizontal="left" wrapText="1"/>
    </xf>
    <xf numFmtId="38" fontId="12" fillId="9" borderId="12" xfId="0" applyNumberFormat="1" applyFont="1" applyFill="1" applyBorder="1" applyAlignment="1">
      <alignment wrapText="1"/>
    </xf>
    <xf numFmtId="0" fontId="4" fillId="9" borderId="10" xfId="0" applyFont="1" applyFill="1" applyBorder="1" applyAlignment="1">
      <alignment horizontal="left" wrapText="1"/>
    </xf>
    <xf numFmtId="0" fontId="12" fillId="9" borderId="10" xfId="0" applyFont="1" applyFill="1" applyBorder="1" applyAlignment="1">
      <alignment horizontal="left" wrapText="1"/>
    </xf>
    <xf numFmtId="0" fontId="4" fillId="10" borderId="10" xfId="0" applyFont="1" applyFill="1" applyBorder="1" applyAlignment="1">
      <alignment horizontal="left" wrapText="1"/>
    </xf>
    <xf numFmtId="0" fontId="12" fillId="10" borderId="10" xfId="0" applyFont="1" applyFill="1" applyBorder="1" applyAlignment="1">
      <alignment horizontal="left" wrapText="1"/>
    </xf>
    <xf numFmtId="38" fontId="12" fillId="10" borderId="10" xfId="0" applyNumberFormat="1" applyFont="1" applyFill="1" applyBorder="1" applyAlignment="1">
      <alignment wrapText="1"/>
    </xf>
    <xf numFmtId="38" fontId="12" fillId="0" borderId="11" xfId="0" applyNumberFormat="1" applyFont="1" applyFill="1" applyBorder="1" applyAlignment="1">
      <alignment wrapText="1"/>
    </xf>
    <xf numFmtId="3" fontId="12" fillId="0" borderId="12" xfId="0" applyNumberFormat="1" applyFont="1" applyFill="1" applyBorder="1"/>
    <xf numFmtId="0" fontId="4" fillId="10" borderId="12" xfId="0" applyFont="1" applyFill="1" applyBorder="1" applyAlignment="1">
      <alignment horizontal="left" wrapText="1"/>
    </xf>
    <xf numFmtId="0" fontId="12" fillId="10" borderId="12" xfId="0" applyFont="1" applyFill="1" applyBorder="1" applyAlignment="1">
      <alignment horizontal="left" wrapText="1"/>
    </xf>
    <xf numFmtId="38" fontId="12" fillId="10" borderId="12" xfId="0" applyNumberFormat="1" applyFont="1" applyFill="1" applyBorder="1" applyAlignment="1">
      <alignment wrapText="1"/>
    </xf>
    <xf numFmtId="0" fontId="4" fillId="10" borderId="0" xfId="0" applyFont="1" applyFill="1"/>
    <xf numFmtId="6" fontId="4" fillId="0" borderId="0" xfId="0" applyNumberFormat="1" applyFont="1" applyBorder="1"/>
    <xf numFmtId="3" fontId="12" fillId="9" borderId="11" xfId="0" applyNumberFormat="1" applyFont="1" applyFill="1" applyBorder="1"/>
    <xf numFmtId="3" fontId="12" fillId="9" borderId="12" xfId="0" applyNumberFormat="1" applyFont="1" applyFill="1" applyBorder="1"/>
    <xf numFmtId="0" fontId="4" fillId="0" borderId="9" xfId="0" applyFont="1" applyFill="1" applyBorder="1" applyAlignment="1">
      <alignment horizontal="left" wrapText="1"/>
    </xf>
    <xf numFmtId="0" fontId="12" fillId="0" borderId="9" xfId="0" applyFont="1" applyFill="1" applyBorder="1" applyAlignment="1">
      <alignment horizontal="left" wrapText="1"/>
    </xf>
    <xf numFmtId="38" fontId="12" fillId="0" borderId="9" xfId="0" applyNumberFormat="1" applyFont="1" applyFill="1" applyBorder="1" applyAlignment="1">
      <alignment wrapText="1"/>
    </xf>
    <xf numFmtId="6" fontId="12" fillId="0" borderId="9" xfId="0" applyNumberFormat="1" applyFont="1" applyBorder="1"/>
    <xf numFmtId="6" fontId="12" fillId="9" borderId="9" xfId="0" applyNumberFormat="1" applyFont="1" applyFill="1" applyBorder="1"/>
    <xf numFmtId="0" fontId="4" fillId="10" borderId="8" xfId="0" applyFont="1" applyFill="1" applyBorder="1" applyAlignment="1">
      <alignment horizontal="left" wrapText="1"/>
    </xf>
    <xf numFmtId="0" fontId="12" fillId="10" borderId="8" xfId="0" applyFont="1" applyFill="1" applyBorder="1" applyAlignment="1">
      <alignment horizontal="left" wrapText="1"/>
    </xf>
    <xf numFmtId="38" fontId="12" fillId="10" borderId="8" xfId="0" applyNumberFormat="1" applyFont="1" applyFill="1" applyBorder="1" applyAlignment="1">
      <alignment wrapText="1"/>
    </xf>
    <xf numFmtId="3" fontId="11" fillId="0" borderId="8" xfId="0" applyNumberFormat="1" applyFont="1" applyFill="1" applyBorder="1"/>
    <xf numFmtId="6" fontId="11" fillId="0" borderId="8" xfId="0" applyNumberFormat="1" applyFont="1" applyBorder="1"/>
    <xf numFmtId="6" fontId="11" fillId="0" borderId="8" xfId="0" applyNumberFormat="1" applyFont="1" applyFill="1" applyBorder="1"/>
    <xf numFmtId="6" fontId="11" fillId="9" borderId="9" xfId="0" applyNumberFormat="1" applyFont="1" applyFill="1" applyBorder="1"/>
    <xf numFmtId="6" fontId="11" fillId="5" borderId="9" xfId="0" applyNumberFormat="1" applyFont="1" applyFill="1" applyBorder="1"/>
    <xf numFmtId="0" fontId="15" fillId="0" borderId="0" xfId="0" applyFont="1"/>
    <xf numFmtId="3" fontId="11" fillId="5" borderId="8" xfId="0" applyNumberFormat="1" applyFont="1" applyFill="1" applyBorder="1"/>
    <xf numFmtId="6" fontId="11" fillId="0" borderId="9" xfId="0" applyNumberFormat="1" applyFont="1" applyBorder="1"/>
    <xf numFmtId="0" fontId="15" fillId="11" borderId="1" xfId="0" applyFont="1" applyFill="1" applyBorder="1" applyAlignment="1">
      <alignment horizontal="left" wrapText="1"/>
    </xf>
    <xf numFmtId="0" fontId="19" fillId="11" borderId="1" xfId="0" applyFont="1" applyFill="1" applyBorder="1" applyAlignment="1">
      <alignment horizontal="left" wrapText="1"/>
    </xf>
    <xf numFmtId="165" fontId="11" fillId="11" borderId="2" xfId="1" applyNumberFormat="1" applyFont="1" applyFill="1" applyBorder="1"/>
    <xf numFmtId="6" fontId="12" fillId="11" borderId="2" xfId="0" applyNumberFormat="1" applyFont="1" applyFill="1" applyBorder="1"/>
    <xf numFmtId="6" fontId="11" fillId="11" borderId="2" xfId="0" applyNumberFormat="1" applyFont="1" applyFill="1" applyBorder="1"/>
    <xf numFmtId="6" fontId="11" fillId="12" borderId="3" xfId="0" applyNumberFormat="1" applyFont="1" applyFill="1" applyBorder="1"/>
    <xf numFmtId="0" fontId="15" fillId="0" borderId="13" xfId="0" applyFont="1" applyBorder="1" applyAlignment="1">
      <alignment horizontal="right" wrapText="1"/>
    </xf>
    <xf numFmtId="0" fontId="20" fillId="0" borderId="13" xfId="0" applyFont="1" applyBorder="1" applyAlignment="1">
      <alignment horizontal="right" wrapText="1"/>
    </xf>
    <xf numFmtId="3" fontId="11" fillId="0" borderId="13" xfId="0" applyNumberFormat="1" applyFont="1" applyFill="1" applyBorder="1"/>
    <xf numFmtId="8" fontId="11" fillId="0" borderId="13" xfId="0" applyNumberFormat="1" applyFont="1" applyBorder="1"/>
    <xf numFmtId="164" fontId="11" fillId="0" borderId="13" xfId="0" applyNumberFormat="1" applyFont="1" applyBorder="1"/>
    <xf numFmtId="164" fontId="11" fillId="5" borderId="13" xfId="0" applyNumberFormat="1" applyFont="1" applyFill="1" applyBorder="1"/>
    <xf numFmtId="6" fontId="11" fillId="0" borderId="13" xfId="0" applyNumberFormat="1" applyFont="1" applyBorder="1"/>
    <xf numFmtId="164" fontId="11" fillId="9" borderId="13" xfId="0" applyNumberFormat="1" applyFont="1" applyFill="1" applyBorder="1"/>
    <xf numFmtId="0" fontId="15" fillId="0" borderId="0" xfId="0" applyFont="1" applyBorder="1" applyAlignment="1">
      <alignment wrapText="1"/>
    </xf>
    <xf numFmtId="3" fontId="4" fillId="0" borderId="0" xfId="0" applyNumberFormat="1" applyFont="1" applyFill="1" applyBorder="1"/>
    <xf numFmtId="8" fontId="4" fillId="0" borderId="0" xfId="0" applyNumberFormat="1" applyFont="1" applyBorder="1"/>
    <xf numFmtId="6" fontId="4" fillId="0" borderId="14" xfId="0" applyNumberFormat="1" applyFont="1" applyFill="1" applyBorder="1" applyAlignment="1">
      <alignment horizontal="center"/>
    </xf>
    <xf numFmtId="0" fontId="21" fillId="0" borderId="0" xfId="0" applyFont="1" applyBorder="1" applyAlignment="1">
      <alignment wrapText="1"/>
    </xf>
    <xf numFmtId="164" fontId="7" fillId="9" borderId="0" xfId="1" applyNumberFormat="1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 vertical="center" wrapText="1"/>
    </xf>
    <xf numFmtId="0" fontId="15" fillId="11" borderId="15" xfId="0" applyFont="1" applyFill="1" applyBorder="1" applyAlignment="1">
      <alignment horizontal="left" wrapText="1"/>
    </xf>
    <xf numFmtId="0" fontId="19" fillId="11" borderId="15" xfId="0" applyFont="1" applyFill="1" applyBorder="1" applyAlignment="1">
      <alignment horizontal="left" wrapText="1"/>
    </xf>
    <xf numFmtId="165" fontId="11" fillId="11" borderId="16" xfId="1" applyNumberFormat="1" applyFont="1" applyFill="1" applyBorder="1"/>
    <xf numFmtId="6" fontId="12" fillId="11" borderId="16" xfId="0" applyNumberFormat="1" applyFont="1" applyFill="1" applyBorder="1"/>
    <xf numFmtId="6" fontId="11" fillId="11" borderId="16" xfId="0" applyNumberFormat="1" applyFont="1" applyFill="1" applyBorder="1"/>
    <xf numFmtId="6" fontId="11" fillId="12" borderId="17" xfId="0" applyNumberFormat="1" applyFont="1" applyFill="1" applyBorder="1"/>
    <xf numFmtId="0" fontId="8" fillId="13" borderId="9" xfId="0" applyFont="1" applyFill="1" applyBorder="1" applyAlignment="1">
      <alignment horizontal="center" vertical="center" wrapText="1"/>
    </xf>
    <xf numFmtId="3" fontId="11" fillId="9" borderId="8" xfId="0" applyNumberFormat="1" applyFont="1" applyFill="1" applyBorder="1"/>
    <xf numFmtId="6" fontId="12" fillId="9" borderId="8" xfId="0" applyNumberFormat="1" applyFont="1" applyFill="1" applyBorder="1" applyAlignment="1">
      <alignment horizontal="right"/>
    </xf>
    <xf numFmtId="6" fontId="12" fillId="0" borderId="11" xfId="0" applyNumberFormat="1" applyFont="1" applyFill="1" applyBorder="1"/>
    <xf numFmtId="6" fontId="4" fillId="0" borderId="9" xfId="0" applyNumberFormat="1" applyFont="1" applyBorder="1"/>
    <xf numFmtId="0" fontId="6" fillId="0" borderId="0" xfId="19" applyFill="1"/>
    <xf numFmtId="1" fontId="7" fillId="8" borderId="8" xfId="0" quotePrefix="1" applyNumberFormat="1" applyFont="1" applyFill="1" applyBorder="1" applyAlignment="1">
      <alignment horizontal="center"/>
    </xf>
    <xf numFmtId="38" fontId="12" fillId="0" borderId="11" xfId="0" applyNumberFormat="1" applyFont="1" applyFill="1" applyBorder="1"/>
    <xf numFmtId="6" fontId="12" fillId="9" borderId="8" xfId="0" applyNumberFormat="1" applyFont="1" applyFill="1" applyBorder="1" applyAlignment="1">
      <alignment horizontal="center"/>
    </xf>
    <xf numFmtId="164" fontId="11" fillId="9" borderId="13" xfId="0" applyNumberFormat="1" applyFont="1" applyFill="1" applyBorder="1" applyAlignment="1">
      <alignment horizontal="right"/>
    </xf>
    <xf numFmtId="165" fontId="11" fillId="0" borderId="9" xfId="1" applyNumberFormat="1" applyFont="1" applyFill="1" applyBorder="1"/>
    <xf numFmtId="6" fontId="12" fillId="0" borderId="9" xfId="0" applyNumberFormat="1" applyFont="1" applyFill="1" applyBorder="1"/>
    <xf numFmtId="6" fontId="12" fillId="0" borderId="12" xfId="0" applyNumberFormat="1" applyFont="1" applyFill="1" applyBorder="1"/>
    <xf numFmtId="6" fontId="12" fillId="0" borderId="10" xfId="0" applyNumberFormat="1" applyFont="1" applyFill="1" applyBorder="1"/>
    <xf numFmtId="6" fontId="12" fillId="0" borderId="27" xfId="0" applyNumberFormat="1" applyFont="1" applyFill="1" applyBorder="1"/>
    <xf numFmtId="6" fontId="12" fillId="0" borderId="8" xfId="0" applyNumberFormat="1" applyFont="1" applyFill="1" applyBorder="1"/>
    <xf numFmtId="6" fontId="11" fillId="0" borderId="9" xfId="0" applyNumberFormat="1" applyFont="1" applyFill="1" applyBorder="1"/>
    <xf numFmtId="0" fontId="46" fillId="4" borderId="7" xfId="19" applyFont="1" applyFill="1" applyBorder="1" applyAlignment="1">
      <alignment horizontal="center" vertical="center" wrapText="1"/>
    </xf>
    <xf numFmtId="8" fontId="46" fillId="39" borderId="9" xfId="19" applyNumberFormat="1" applyFont="1" applyFill="1" applyBorder="1" applyAlignment="1">
      <alignment horizontal="center" vertical="center" wrapText="1"/>
    </xf>
    <xf numFmtId="8" fontId="46" fillId="39" borderId="9" xfId="19" applyNumberFormat="1" applyFont="1" applyFill="1" applyBorder="1" applyAlignment="1">
      <alignment vertical="center" wrapText="1"/>
    </xf>
    <xf numFmtId="38" fontId="12" fillId="0" borderId="8" xfId="0" applyNumberFormat="1" applyFont="1" applyFill="1" applyBorder="1"/>
    <xf numFmtId="38" fontId="12" fillId="0" borderId="9" xfId="0" applyNumberFormat="1" applyFont="1" applyFill="1" applyBorder="1"/>
    <xf numFmtId="0" fontId="46" fillId="0" borderId="4" xfId="19" applyFont="1" applyFill="1" applyBorder="1" applyAlignment="1">
      <alignment horizontal="center" vertical="center" wrapText="1"/>
    </xf>
    <xf numFmtId="0" fontId="46" fillId="0" borderId="6" xfId="19" applyFont="1" applyFill="1" applyBorder="1" applyAlignment="1">
      <alignment horizontal="center" vertical="center" wrapText="1"/>
    </xf>
    <xf numFmtId="0" fontId="46" fillId="4" borderId="7" xfId="19" applyFont="1" applyFill="1" applyBorder="1" applyAlignment="1">
      <alignment horizontal="center" vertical="center" wrapText="1"/>
    </xf>
    <xf numFmtId="8" fontId="46" fillId="39" borderId="9" xfId="19" applyNumberFormat="1" applyFont="1" applyFill="1" applyBorder="1" applyAlignment="1">
      <alignment horizontal="center" vertical="center" wrapText="1"/>
    </xf>
    <xf numFmtId="38" fontId="12" fillId="0" borderId="10" xfId="0" applyNumberFormat="1" applyFont="1" applyFill="1" applyBorder="1"/>
    <xf numFmtId="38" fontId="12" fillId="0" borderId="12" xfId="0" applyNumberFormat="1" applyFont="1" applyFill="1" applyBorder="1"/>
    <xf numFmtId="0" fontId="46" fillId="38" borderId="7" xfId="19" applyFont="1" applyFill="1" applyBorder="1" applyAlignment="1">
      <alignment horizontal="center" vertical="center" wrapText="1"/>
    </xf>
    <xf numFmtId="166" fontId="46" fillId="40" borderId="9" xfId="1" applyNumberFormat="1" applyFont="1" applyFill="1" applyBorder="1" applyAlignment="1">
      <alignment horizontal="center" vertical="center"/>
    </xf>
    <xf numFmtId="6" fontId="11" fillId="0" borderId="13" xfId="0" applyNumberFormat="1" applyFont="1" applyBorder="1" applyAlignment="1">
      <alignment horizontal="right"/>
    </xf>
    <xf numFmtId="6" fontId="11" fillId="11" borderId="16" xfId="0" applyNumberFormat="1" applyFont="1" applyFill="1" applyBorder="1" applyAlignment="1">
      <alignment horizontal="right"/>
    </xf>
    <xf numFmtId="164" fontId="11" fillId="0" borderId="13" xfId="0" applyNumberFormat="1" applyFont="1" applyBorder="1" applyAlignment="1">
      <alignment horizontal="right"/>
    </xf>
    <xf numFmtId="8" fontId="46" fillId="39" borderId="9" xfId="19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6" fontId="17" fillId="0" borderId="0" xfId="0" applyNumberFormat="1" applyFont="1" applyAlignment="1">
      <alignment horizontal="right"/>
    </xf>
    <xf numFmtId="164" fontId="4" fillId="0" borderId="4" xfId="0" applyNumberFormat="1" applyFont="1" applyBorder="1"/>
    <xf numFmtId="6" fontId="4" fillId="0" borderId="0" xfId="0" applyNumberFormat="1" applyFont="1"/>
    <xf numFmtId="0" fontId="17" fillId="0" borderId="0" xfId="0" applyFont="1" applyAlignment="1">
      <alignment horizontal="left"/>
    </xf>
    <xf numFmtId="0" fontId="50" fillId="0" borderId="0" xfId="20" applyFont="1"/>
    <xf numFmtId="6" fontId="50" fillId="0" borderId="0" xfId="20" applyNumberFormat="1" applyFont="1"/>
    <xf numFmtId="164" fontId="50" fillId="0" borderId="0" xfId="20" applyNumberFormat="1" applyFont="1"/>
    <xf numFmtId="0" fontId="6" fillId="0" borderId="0" xfId="20" applyFont="1"/>
    <xf numFmtId="0" fontId="51" fillId="8" borderId="9" xfId="20" applyFont="1" applyFill="1" applyBorder="1"/>
    <xf numFmtId="0" fontId="54" fillId="8" borderId="9" xfId="8" quotePrefix="1" applyNumberFormat="1" applyFont="1" applyFill="1" applyBorder="1" applyAlignment="1">
      <alignment horizontal="center"/>
    </xf>
    <xf numFmtId="0" fontId="55" fillId="8" borderId="9" xfId="8" quotePrefix="1" applyNumberFormat="1" applyFont="1" applyFill="1" applyBorder="1" applyAlignment="1">
      <alignment horizontal="center" wrapText="1"/>
    </xf>
    <xf numFmtId="0" fontId="55" fillId="8" borderId="9" xfId="8" applyNumberFormat="1" applyFont="1" applyFill="1" applyBorder="1" applyAlignment="1">
      <alignment horizontal="center" wrapText="1"/>
    </xf>
    <xf numFmtId="6" fontId="55" fillId="8" borderId="9" xfId="8" quotePrefix="1" applyNumberFormat="1" applyFont="1" applyFill="1" applyBorder="1" applyAlignment="1">
      <alignment horizontal="center" wrapText="1"/>
    </xf>
    <xf numFmtId="164" fontId="55" fillId="8" borderId="9" xfId="8" quotePrefix="1" applyNumberFormat="1" applyFont="1" applyFill="1" applyBorder="1" applyAlignment="1">
      <alignment horizontal="center" wrapText="1"/>
    </xf>
    <xf numFmtId="0" fontId="56" fillId="8" borderId="9" xfId="8" quotePrefix="1" applyNumberFormat="1" applyFont="1" applyFill="1" applyBorder="1" applyAlignment="1">
      <alignment horizontal="center"/>
    </xf>
    <xf numFmtId="0" fontId="57" fillId="0" borderId="0" xfId="20" applyFont="1"/>
    <xf numFmtId="0" fontId="51" fillId="0" borderId="28" xfId="20" applyFont="1" applyFill="1" applyBorder="1" applyProtection="1"/>
    <xf numFmtId="0" fontId="51" fillId="0" borderId="29" xfId="20" applyFont="1" applyFill="1" applyBorder="1" applyProtection="1"/>
    <xf numFmtId="3" fontId="51" fillId="0" borderId="27" xfId="20" applyNumberFormat="1" applyFont="1" applyBorder="1" applyProtection="1"/>
    <xf numFmtId="38" fontId="51" fillId="0" borderId="27" xfId="8" applyNumberFormat="1" applyFont="1" applyBorder="1"/>
    <xf numFmtId="6" fontId="51" fillId="0" borderId="27" xfId="20" applyNumberFormat="1" applyFont="1" applyBorder="1" applyProtection="1"/>
    <xf numFmtId="6" fontId="51" fillId="40" borderId="27" xfId="20" applyNumberFormat="1" applyFont="1" applyFill="1" applyBorder="1" applyProtection="1"/>
    <xf numFmtId="3" fontId="51" fillId="0" borderId="27" xfId="20" applyNumberFormat="1" applyFont="1" applyFill="1" applyBorder="1" applyProtection="1"/>
    <xf numFmtId="6" fontId="51" fillId="0" borderId="27" xfId="20" applyNumberFormat="1" applyFont="1" applyFill="1" applyBorder="1" applyProtection="1"/>
    <xf numFmtId="0" fontId="51" fillId="0" borderId="30" xfId="20" applyFont="1" applyFill="1" applyBorder="1" applyProtection="1"/>
    <xf numFmtId="0" fontId="51" fillId="0" borderId="31" xfId="20" applyFont="1" applyFill="1" applyBorder="1" applyProtection="1"/>
    <xf numFmtId="3" fontId="51" fillId="0" borderId="8" xfId="20" applyNumberFormat="1" applyFont="1" applyFill="1" applyBorder="1" applyProtection="1"/>
    <xf numFmtId="3" fontId="51" fillId="0" borderId="8" xfId="20" applyNumberFormat="1" applyFont="1" applyBorder="1" applyProtection="1"/>
    <xf numFmtId="38" fontId="51" fillId="0" borderId="8" xfId="8" applyNumberFormat="1" applyFont="1" applyBorder="1"/>
    <xf numFmtId="6" fontId="51" fillId="0" borderId="8" xfId="20" applyNumberFormat="1" applyFont="1" applyBorder="1" applyProtection="1"/>
    <xf numFmtId="6" fontId="51" fillId="0" borderId="8" xfId="20" applyNumberFormat="1" applyFont="1" applyFill="1" applyBorder="1" applyProtection="1"/>
    <xf numFmtId="6" fontId="51" fillId="40" borderId="8" xfId="20" applyNumberFormat="1" applyFont="1" applyFill="1" applyBorder="1" applyProtection="1"/>
    <xf numFmtId="3" fontId="51" fillId="3" borderId="27" xfId="20" applyNumberFormat="1" applyFont="1" applyFill="1" applyBorder="1" applyProtection="1"/>
    <xf numFmtId="6" fontId="51" fillId="14" borderId="27" xfId="20" applyNumberFormat="1" applyFont="1" applyFill="1" applyBorder="1" applyProtection="1"/>
    <xf numFmtId="6" fontId="51" fillId="9" borderId="27" xfId="20" applyNumberFormat="1" applyFont="1" applyFill="1" applyBorder="1" applyProtection="1"/>
    <xf numFmtId="6" fontId="51" fillId="9" borderId="8" xfId="20" applyNumberFormat="1" applyFont="1" applyFill="1" applyBorder="1" applyProtection="1"/>
    <xf numFmtId="3" fontId="51" fillId="0" borderId="7" xfId="20" applyNumberFormat="1" applyFont="1" applyFill="1" applyBorder="1" applyProtection="1"/>
    <xf numFmtId="6" fontId="51" fillId="3" borderId="27" xfId="20" applyNumberFormat="1" applyFont="1" applyFill="1" applyBorder="1" applyProtection="1"/>
    <xf numFmtId="0" fontId="51" fillId="0" borderId="32" xfId="20" applyFont="1" applyFill="1" applyBorder="1" applyProtection="1"/>
    <xf numFmtId="0" fontId="51" fillId="0" borderId="33" xfId="20" applyFont="1" applyFill="1" applyBorder="1" applyProtection="1"/>
    <xf numFmtId="0" fontId="51" fillId="0" borderId="34" xfId="20" applyFont="1" applyFill="1" applyBorder="1" applyProtection="1"/>
    <xf numFmtId="0" fontId="51" fillId="0" borderId="35" xfId="20" applyFont="1" applyFill="1" applyBorder="1" applyProtection="1"/>
    <xf numFmtId="0" fontId="52" fillId="46" borderId="36" xfId="20" applyFont="1" applyFill="1" applyBorder="1" applyProtection="1"/>
    <xf numFmtId="0" fontId="58" fillId="46" borderId="37" xfId="20" applyFont="1" applyFill="1" applyBorder="1" applyAlignment="1" applyProtection="1">
      <alignment horizontal="center"/>
    </xf>
    <xf numFmtId="38" fontId="52" fillId="0" borderId="38" xfId="8" applyNumberFormat="1" applyFont="1" applyBorder="1" applyAlignment="1">
      <alignment horizontal="right"/>
    </xf>
    <xf numFmtId="6" fontId="52" fillId="0" borderId="38" xfId="8" applyNumberFormat="1" applyFont="1" applyBorder="1" applyAlignment="1">
      <alignment horizontal="right"/>
    </xf>
    <xf numFmtId="0" fontId="59" fillId="0" borderId="0" xfId="20" applyFont="1"/>
    <xf numFmtId="0" fontId="51" fillId="11" borderId="5" xfId="20" applyFont="1" applyFill="1" applyBorder="1"/>
    <xf numFmtId="0" fontId="58" fillId="11" borderId="4" xfId="20" applyFont="1" applyFill="1" applyBorder="1" applyAlignment="1" applyProtection="1"/>
    <xf numFmtId="3" fontId="51" fillId="11" borderId="4" xfId="20" applyNumberFormat="1" applyFont="1" applyFill="1" applyBorder="1"/>
    <xf numFmtId="6" fontId="51" fillId="11" borderId="4" xfId="20" applyNumberFormat="1" applyFont="1" applyFill="1" applyBorder="1"/>
    <xf numFmtId="0" fontId="51" fillId="0" borderId="7" xfId="20" applyFont="1" applyBorder="1"/>
    <xf numFmtId="3" fontId="51" fillId="0" borderId="7" xfId="20" applyNumberFormat="1" applyFont="1" applyBorder="1" applyProtection="1"/>
    <xf numFmtId="38" fontId="51" fillId="0" borderId="7" xfId="20" applyNumberFormat="1" applyFont="1" applyBorder="1" applyProtection="1"/>
    <xf numFmtId="6" fontId="51" fillId="0" borderId="7" xfId="20" applyNumberFormat="1" applyFont="1" applyBorder="1" applyProtection="1"/>
    <xf numFmtId="6" fontId="51" fillId="40" borderId="15" xfId="20" applyNumberFormat="1" applyFont="1" applyFill="1" applyBorder="1" applyProtection="1"/>
    <xf numFmtId="0" fontId="51" fillId="0" borderId="39" xfId="20" applyFont="1" applyFill="1" applyBorder="1" applyProtection="1"/>
    <xf numFmtId="0" fontId="51" fillId="46" borderId="36" xfId="20" applyFont="1" applyFill="1" applyBorder="1" applyProtection="1"/>
    <xf numFmtId="0" fontId="51" fillId="10" borderId="40" xfId="20" applyFont="1" applyFill="1" applyBorder="1"/>
    <xf numFmtId="0" fontId="58" fillId="10" borderId="41" xfId="20" applyFont="1" applyFill="1" applyBorder="1" applyAlignment="1" applyProtection="1"/>
    <xf numFmtId="3" fontId="51" fillId="10" borderId="41" xfId="20" applyNumberFormat="1" applyFont="1" applyFill="1" applyBorder="1"/>
    <xf numFmtId="6" fontId="51" fillId="10" borderId="41" xfId="20" applyNumberFormat="1" applyFont="1" applyFill="1" applyBorder="1"/>
    <xf numFmtId="0" fontId="6" fillId="0" borderId="0" xfId="20" applyFont="1" applyFill="1"/>
    <xf numFmtId="0" fontId="51" fillId="0" borderId="9" xfId="20" applyFont="1" applyFill="1" applyBorder="1"/>
    <xf numFmtId="0" fontId="58" fillId="0" borderId="42" xfId="20" applyFont="1" applyFill="1" applyBorder="1" applyAlignment="1" applyProtection="1">
      <alignment horizontal="center"/>
    </xf>
    <xf numFmtId="3" fontId="51" fillId="0" borderId="3" xfId="20" applyNumberFormat="1" applyFont="1" applyFill="1" applyBorder="1"/>
    <xf numFmtId="38" fontId="51" fillId="0" borderId="3" xfId="20" applyNumberFormat="1" applyFont="1" applyFill="1" applyBorder="1"/>
    <xf numFmtId="6" fontId="51" fillId="0" borderId="3" xfId="20" applyNumberFormat="1" applyFont="1" applyFill="1" applyBorder="1"/>
    <xf numFmtId="0" fontId="51" fillId="10" borderId="43" xfId="20" applyFont="1" applyFill="1" applyBorder="1"/>
    <xf numFmtId="0" fontId="58" fillId="10" borderId="44" xfId="20" applyFont="1" applyFill="1" applyBorder="1" applyAlignment="1" applyProtection="1"/>
    <xf numFmtId="3" fontId="51" fillId="10" borderId="44" xfId="20" applyNumberFormat="1" applyFont="1" applyFill="1" applyBorder="1"/>
    <xf numFmtId="6" fontId="51" fillId="10" borderId="44" xfId="20" applyNumberFormat="1" applyFont="1" applyFill="1" applyBorder="1"/>
    <xf numFmtId="0" fontId="51" fillId="0" borderId="7" xfId="20" applyFont="1" applyFill="1" applyBorder="1" applyAlignment="1">
      <alignment horizontal="left"/>
    </xf>
    <xf numFmtId="0" fontId="6" fillId="0" borderId="17" xfId="20" applyFont="1" applyFill="1" applyBorder="1" applyAlignment="1" applyProtection="1">
      <alignment vertical="top" wrapText="1"/>
    </xf>
    <xf numFmtId="3" fontId="51" fillId="0" borderId="17" xfId="20" applyNumberFormat="1" applyFont="1" applyFill="1" applyBorder="1"/>
    <xf numFmtId="38" fontId="51" fillId="0" borderId="17" xfId="20" applyNumberFormat="1" applyFont="1" applyFill="1" applyBorder="1"/>
    <xf numFmtId="6" fontId="51" fillId="0" borderId="17" xfId="20" applyNumberFormat="1" applyFont="1" applyFill="1" applyBorder="1"/>
    <xf numFmtId="6" fontId="51" fillId="47" borderId="17" xfId="20" applyNumberFormat="1" applyFont="1" applyFill="1" applyBorder="1"/>
    <xf numFmtId="0" fontId="51" fillId="0" borderId="27" xfId="20" applyFont="1" applyFill="1" applyBorder="1" applyAlignment="1">
      <alignment horizontal="left"/>
    </xf>
    <xf numFmtId="0" fontId="6" fillId="0" borderId="45" xfId="20" applyFont="1" applyFill="1" applyBorder="1" applyAlignment="1" applyProtection="1"/>
    <xf numFmtId="3" fontId="51" fillId="0" borderId="27" xfId="20" applyNumberFormat="1" applyFont="1" applyFill="1" applyBorder="1"/>
    <xf numFmtId="3" fontId="51" fillId="0" borderId="45" xfId="20" applyNumberFormat="1" applyFont="1" applyFill="1" applyBorder="1"/>
    <xf numFmtId="38" fontId="51" fillId="0" borderId="45" xfId="20" applyNumberFormat="1" applyFont="1" applyFill="1" applyBorder="1"/>
    <xf numFmtId="6" fontId="51" fillId="0" borderId="27" xfId="20" applyNumberFormat="1" applyFont="1" applyFill="1" applyBorder="1"/>
    <xf numFmtId="6" fontId="51" fillId="0" borderId="45" xfId="20" applyNumberFormat="1" applyFont="1" applyFill="1" applyBorder="1"/>
    <xf numFmtId="6" fontId="51" fillId="47" borderId="27" xfId="20" applyNumberFormat="1" applyFont="1" applyFill="1" applyBorder="1"/>
    <xf numFmtId="0" fontId="6" fillId="0" borderId="45" xfId="20" applyFont="1" applyFill="1" applyBorder="1" applyAlignment="1" applyProtection="1">
      <alignment wrapText="1"/>
    </xf>
    <xf numFmtId="0" fontId="51" fillId="0" borderId="8" xfId="20" applyFont="1" applyFill="1" applyBorder="1" applyAlignment="1">
      <alignment horizontal="left"/>
    </xf>
    <xf numFmtId="0" fontId="6" fillId="0" borderId="6" xfId="20" applyFont="1" applyFill="1" applyBorder="1" applyAlignment="1" applyProtection="1"/>
    <xf numFmtId="3" fontId="51" fillId="0" borderId="8" xfId="20" applyNumberFormat="1" applyFont="1" applyFill="1" applyBorder="1"/>
    <xf numFmtId="3" fontId="51" fillId="0" borderId="6" xfId="20" applyNumberFormat="1" applyFont="1" applyFill="1" applyBorder="1"/>
    <xf numFmtId="38" fontId="51" fillId="0" borderId="6" xfId="20" applyNumberFormat="1" applyFont="1" applyFill="1" applyBorder="1"/>
    <xf numFmtId="6" fontId="51" fillId="0" borderId="8" xfId="20" applyNumberFormat="1" applyFont="1" applyFill="1" applyBorder="1"/>
    <xf numFmtId="6" fontId="51" fillId="0" borderId="6" xfId="20" applyNumberFormat="1" applyFont="1" applyFill="1" applyBorder="1"/>
    <xf numFmtId="6" fontId="51" fillId="47" borderId="8" xfId="20" applyNumberFormat="1" applyFont="1" applyFill="1" applyBorder="1"/>
    <xf numFmtId="0" fontId="58" fillId="0" borderId="45" xfId="20" applyFont="1" applyFill="1" applyBorder="1" applyAlignment="1" applyProtection="1">
      <alignment horizontal="center"/>
    </xf>
    <xf numFmtId="3" fontId="52" fillId="0" borderId="45" xfId="20" applyNumberFormat="1" applyFont="1" applyFill="1" applyBorder="1"/>
    <xf numFmtId="38" fontId="52" fillId="0" borderId="45" xfId="20" applyNumberFormat="1" applyFont="1" applyFill="1" applyBorder="1"/>
    <xf numFmtId="6" fontId="52" fillId="0" borderId="45" xfId="20" applyNumberFormat="1" applyFont="1" applyFill="1" applyBorder="1"/>
    <xf numFmtId="0" fontId="51" fillId="10" borderId="43" xfId="20" applyFont="1" applyFill="1" applyBorder="1" applyAlignment="1">
      <alignment horizontal="left"/>
    </xf>
    <xf numFmtId="0" fontId="58" fillId="10" borderId="44" xfId="20" applyFont="1" applyFill="1" applyBorder="1" applyAlignment="1" applyProtection="1">
      <alignment horizontal="center"/>
    </xf>
    <xf numFmtId="3" fontId="52" fillId="10" borderId="44" xfId="20" applyNumberFormat="1" applyFont="1" applyFill="1" applyBorder="1"/>
    <xf numFmtId="38" fontId="52" fillId="10" borderId="44" xfId="20" applyNumberFormat="1" applyFont="1" applyFill="1" applyBorder="1"/>
    <xf numFmtId="6" fontId="52" fillId="10" borderId="44" xfId="20" applyNumberFormat="1" applyFont="1" applyFill="1" applyBorder="1"/>
    <xf numFmtId="0" fontId="51" fillId="46" borderId="36" xfId="20" applyFont="1" applyFill="1" applyBorder="1" applyAlignment="1" applyProtection="1">
      <alignment horizontal="left"/>
    </xf>
    <xf numFmtId="38" fontId="52" fillId="0" borderId="38" xfId="8" applyNumberFormat="1" applyFont="1" applyBorder="1" applyAlignment="1"/>
    <xf numFmtId="0" fontId="51" fillId="10" borderId="1" xfId="20" applyFont="1" applyFill="1" applyBorder="1" applyAlignment="1">
      <alignment horizontal="left"/>
    </xf>
    <xf numFmtId="0" fontId="58" fillId="10" borderId="2" xfId="20" applyFont="1" applyFill="1" applyBorder="1" applyAlignment="1" applyProtection="1">
      <alignment horizontal="center"/>
    </xf>
    <xf numFmtId="3" fontId="52" fillId="10" borderId="2" xfId="20" applyNumberFormat="1" applyFont="1" applyFill="1" applyBorder="1"/>
    <xf numFmtId="3" fontId="52" fillId="10" borderId="2" xfId="20" applyNumberFormat="1" applyFont="1" applyFill="1" applyBorder="1" applyAlignment="1"/>
    <xf numFmtId="38" fontId="52" fillId="10" borderId="2" xfId="20" applyNumberFormat="1" applyFont="1" applyFill="1" applyBorder="1"/>
    <xf numFmtId="38" fontId="52" fillId="10" borderId="2" xfId="20" applyNumberFormat="1" applyFont="1" applyFill="1" applyBorder="1" applyAlignment="1"/>
    <xf numFmtId="6" fontId="52" fillId="10" borderId="2" xfId="20" applyNumberFormat="1" applyFont="1" applyFill="1" applyBorder="1"/>
    <xf numFmtId="6" fontId="52" fillId="10" borderId="2" xfId="20" applyNumberFormat="1" applyFont="1" applyFill="1" applyBorder="1" applyAlignment="1">
      <alignment horizontal="right"/>
    </xf>
    <xf numFmtId="3" fontId="52" fillId="10" borderId="2" xfId="20" applyNumberFormat="1" applyFont="1" applyFill="1" applyBorder="1" applyAlignment="1">
      <alignment horizontal="right"/>
    </xf>
    <xf numFmtId="38" fontId="52" fillId="10" borderId="2" xfId="20" applyNumberFormat="1" applyFont="1" applyFill="1" applyBorder="1" applyAlignment="1">
      <alignment horizontal="right"/>
    </xf>
    <xf numFmtId="0" fontId="59" fillId="0" borderId="4" xfId="20" applyFont="1" applyBorder="1"/>
    <xf numFmtId="0" fontId="51" fillId="10" borderId="40" xfId="20" applyFont="1" applyFill="1" applyBorder="1" applyAlignment="1">
      <alignment horizontal="left"/>
    </xf>
    <xf numFmtId="0" fontId="51" fillId="0" borderId="46" xfId="20" applyFont="1" applyFill="1" applyBorder="1" applyAlignment="1">
      <alignment horizontal="left"/>
    </xf>
    <xf numFmtId="0" fontId="58" fillId="46" borderId="47" xfId="20" applyFont="1" applyFill="1" applyBorder="1" applyAlignment="1" applyProtection="1">
      <alignment horizontal="center"/>
    </xf>
    <xf numFmtId="3" fontId="52" fillId="0" borderId="48" xfId="20" applyNumberFormat="1" applyFont="1" applyFill="1" applyBorder="1" applyAlignment="1">
      <alignment horizontal="right"/>
    </xf>
    <xf numFmtId="38" fontId="52" fillId="0" borderId="48" xfId="20" applyNumberFormat="1" applyFont="1" applyFill="1" applyBorder="1" applyAlignment="1">
      <alignment horizontal="right"/>
    </xf>
    <xf numFmtId="38" fontId="52" fillId="0" borderId="48" xfId="20" applyNumberFormat="1" applyFont="1" applyFill="1" applyBorder="1" applyAlignment="1"/>
    <xf numFmtId="6" fontId="52" fillId="0" borderId="48" xfId="20" applyNumberFormat="1" applyFont="1" applyFill="1" applyBorder="1"/>
    <xf numFmtId="6" fontId="52" fillId="0" borderId="48" xfId="20" applyNumberFormat="1" applyFont="1" applyFill="1" applyBorder="1" applyAlignment="1">
      <alignment horizontal="right"/>
    </xf>
    <xf numFmtId="0" fontId="59" fillId="0" borderId="0" xfId="20" applyFont="1" applyFill="1" applyBorder="1"/>
    <xf numFmtId="0" fontId="51" fillId="10" borderId="5" xfId="20" applyFont="1" applyFill="1" applyBorder="1" applyAlignment="1">
      <alignment horizontal="left"/>
    </xf>
    <xf numFmtId="0" fontId="58" fillId="10" borderId="4" xfId="20" applyFont="1" applyFill="1" applyBorder="1" applyAlignment="1" applyProtection="1">
      <alignment horizontal="center"/>
    </xf>
    <xf numFmtId="3" fontId="52" fillId="10" borderId="4" xfId="20" applyNumberFormat="1" applyFont="1" applyFill="1" applyBorder="1" applyAlignment="1">
      <alignment horizontal="right"/>
    </xf>
    <xf numFmtId="38" fontId="52" fillId="10" borderId="4" xfId="20" applyNumberFormat="1" applyFont="1" applyFill="1" applyBorder="1" applyAlignment="1">
      <alignment horizontal="right"/>
    </xf>
    <xf numFmtId="38" fontId="52" fillId="10" borderId="4" xfId="20" applyNumberFormat="1" applyFont="1" applyFill="1" applyBorder="1" applyAlignment="1"/>
    <xf numFmtId="6" fontId="52" fillId="10" borderId="4" xfId="20" applyNumberFormat="1" applyFont="1" applyFill="1" applyBorder="1"/>
    <xf numFmtId="6" fontId="52" fillId="10" borderId="4" xfId="20" applyNumberFormat="1" applyFont="1" applyFill="1" applyBorder="1" applyAlignment="1">
      <alignment horizontal="right"/>
    </xf>
    <xf numFmtId="3" fontId="52" fillId="0" borderId="48" xfId="20" applyNumberFormat="1" applyFont="1" applyFill="1" applyBorder="1" applyAlignment="1"/>
    <xf numFmtId="0" fontId="52" fillId="10" borderId="5" xfId="20" applyFont="1" applyFill="1" applyBorder="1" applyAlignment="1">
      <alignment horizontal="left"/>
    </xf>
    <xf numFmtId="3" fontId="52" fillId="10" borderId="0" xfId="20" applyNumberFormat="1" applyFont="1" applyFill="1" applyBorder="1" applyAlignment="1">
      <alignment horizontal="right"/>
    </xf>
    <xf numFmtId="38" fontId="52" fillId="10" borderId="0" xfId="20" applyNumberFormat="1" applyFont="1" applyFill="1" applyBorder="1" applyAlignment="1">
      <alignment horizontal="right"/>
    </xf>
    <xf numFmtId="38" fontId="52" fillId="10" borderId="0" xfId="20" applyNumberFormat="1" applyFont="1" applyFill="1" applyBorder="1" applyAlignment="1"/>
    <xf numFmtId="6" fontId="52" fillId="10" borderId="0" xfId="20" applyNumberFormat="1" applyFont="1" applyFill="1" applyBorder="1"/>
    <xf numFmtId="6" fontId="52" fillId="10" borderId="0" xfId="20" applyNumberFormat="1" applyFont="1" applyFill="1" applyBorder="1" applyAlignment="1">
      <alignment horizontal="right"/>
    </xf>
    <xf numFmtId="0" fontId="58" fillId="0" borderId="49" xfId="20" applyFont="1" applyFill="1" applyBorder="1" applyAlignment="1" applyProtection="1">
      <alignment horizontal="center"/>
    </xf>
    <xf numFmtId="3" fontId="52" fillId="0" borderId="13" xfId="20" applyNumberFormat="1" applyFont="1" applyFill="1" applyBorder="1" applyAlignment="1">
      <alignment horizontal="right"/>
    </xf>
    <xf numFmtId="38" fontId="52" fillId="0" borderId="13" xfId="20" applyNumberFormat="1" applyFont="1" applyFill="1" applyBorder="1" applyAlignment="1">
      <alignment horizontal="right"/>
    </xf>
    <xf numFmtId="38" fontId="52" fillId="0" borderId="13" xfId="20" applyNumberFormat="1" applyFont="1" applyFill="1" applyBorder="1" applyAlignment="1"/>
    <xf numFmtId="6" fontId="52" fillId="0" borderId="13" xfId="20" applyNumberFormat="1" applyFont="1" applyFill="1" applyBorder="1"/>
    <xf numFmtId="6" fontId="52" fillId="0" borderId="13" xfId="20" applyNumberFormat="1" applyFont="1" applyFill="1" applyBorder="1" applyAlignment="1">
      <alignment horizontal="right"/>
    </xf>
    <xf numFmtId="0" fontId="58" fillId="10" borderId="0" xfId="20" applyFont="1" applyFill="1" applyBorder="1" applyAlignment="1" applyProtection="1">
      <alignment horizontal="center"/>
    </xf>
    <xf numFmtId="0" fontId="58" fillId="0" borderId="13" xfId="20" applyFont="1" applyFill="1" applyBorder="1" applyAlignment="1" applyProtection="1">
      <alignment horizontal="center"/>
    </xf>
    <xf numFmtId="0" fontId="51" fillId="0" borderId="15" xfId="20" applyFont="1" applyFill="1" applyBorder="1" applyAlignment="1">
      <alignment horizontal="left"/>
    </xf>
    <xf numFmtId="0" fontId="51" fillId="0" borderId="13" xfId="20" applyFont="1" applyFill="1" applyBorder="1" applyAlignment="1">
      <alignment horizontal="left"/>
    </xf>
    <xf numFmtId="38" fontId="52" fillId="10" borderId="0" xfId="20" applyNumberFormat="1" applyFont="1" applyFill="1" applyBorder="1"/>
    <xf numFmtId="167" fontId="52" fillId="0" borderId="13" xfId="20" applyNumberFormat="1" applyFont="1" applyFill="1" applyBorder="1" applyAlignment="1">
      <alignment horizontal="right"/>
    </xf>
    <xf numFmtId="6" fontId="51" fillId="0" borderId="48" xfId="20" applyNumberFormat="1" applyFont="1" applyFill="1" applyBorder="1"/>
    <xf numFmtId="0" fontId="52" fillId="10" borderId="50" xfId="20" applyFont="1" applyFill="1" applyBorder="1" applyAlignment="1">
      <alignment horizontal="left"/>
    </xf>
    <xf numFmtId="3" fontId="52" fillId="10" borderId="0" xfId="20" applyNumberFormat="1" applyFont="1" applyFill="1" applyBorder="1"/>
    <xf numFmtId="167" fontId="52" fillId="10" borderId="0" xfId="20" applyNumberFormat="1" applyFont="1" applyFill="1" applyBorder="1"/>
    <xf numFmtId="0" fontId="51" fillId="11" borderId="43" xfId="20" applyFont="1" applyFill="1" applyBorder="1" applyAlignment="1">
      <alignment horizontal="left"/>
    </xf>
    <xf numFmtId="0" fontId="58" fillId="11" borderId="44" xfId="20" applyFont="1" applyFill="1" applyBorder="1" applyAlignment="1" applyProtection="1"/>
    <xf numFmtId="3" fontId="51" fillId="11" borderId="44" xfId="20" applyNumberFormat="1" applyFont="1" applyFill="1" applyBorder="1"/>
    <xf numFmtId="6" fontId="51" fillId="11" borderId="44" xfId="20" applyNumberFormat="1" applyFont="1" applyFill="1" applyBorder="1"/>
    <xf numFmtId="0" fontId="51" fillId="9" borderId="28" xfId="20" applyFont="1" applyFill="1" applyBorder="1" applyAlignment="1" applyProtection="1">
      <alignment horizontal="left"/>
    </xf>
    <xf numFmtId="0" fontId="51" fillId="9" borderId="27" xfId="20" applyNumberFormat="1" applyFont="1" applyFill="1" applyBorder="1" applyProtection="1"/>
    <xf numFmtId="3" fontId="51" fillId="9" borderId="27" xfId="20" applyNumberFormat="1" applyFont="1" applyFill="1" applyBorder="1" applyProtection="1"/>
    <xf numFmtId="38" fontId="51" fillId="9" borderId="27" xfId="20" applyNumberFormat="1" applyFont="1" applyFill="1" applyBorder="1" applyProtection="1"/>
    <xf numFmtId="0" fontId="51" fillId="9" borderId="27" xfId="20" applyFont="1" applyFill="1" applyBorder="1" applyAlignment="1" applyProtection="1">
      <alignment horizontal="left"/>
    </xf>
    <xf numFmtId="3" fontId="51" fillId="9" borderId="27" xfId="8" applyNumberFormat="1" applyFont="1" applyFill="1" applyBorder="1"/>
    <xf numFmtId="38" fontId="51" fillId="9" borderId="27" xfId="8" applyNumberFormat="1" applyFont="1" applyFill="1" applyBorder="1"/>
    <xf numFmtId="6" fontId="51" fillId="9" borderId="27" xfId="8" applyNumberFormat="1" applyFont="1" applyFill="1" applyBorder="1"/>
    <xf numFmtId="6" fontId="51" fillId="5" borderId="27" xfId="8" applyNumberFormat="1" applyFont="1" applyFill="1" applyBorder="1"/>
    <xf numFmtId="0" fontId="51" fillId="9" borderId="51" xfId="20" applyNumberFormat="1" applyFont="1" applyFill="1" applyBorder="1" applyProtection="1"/>
    <xf numFmtId="0" fontId="51" fillId="0" borderId="52" xfId="20" applyNumberFormat="1" applyFont="1" applyFill="1" applyBorder="1" applyProtection="1"/>
    <xf numFmtId="0" fontId="51" fillId="0" borderId="0" xfId="20" applyNumberFormat="1" applyFont="1" applyFill="1" applyBorder="1" applyProtection="1"/>
    <xf numFmtId="0" fontId="51" fillId="11" borderId="1" xfId="20" applyFont="1" applyFill="1" applyBorder="1"/>
    <xf numFmtId="0" fontId="58" fillId="11" borderId="41" xfId="20" applyFont="1" applyFill="1" applyBorder="1" applyAlignment="1" applyProtection="1"/>
    <xf numFmtId="3" fontId="51" fillId="11" borderId="2" xfId="20" applyNumberFormat="1" applyFont="1" applyFill="1" applyBorder="1"/>
    <xf numFmtId="38" fontId="51" fillId="11" borderId="2" xfId="20" applyNumberFormat="1" applyFont="1" applyFill="1" applyBorder="1"/>
    <xf numFmtId="6" fontId="51" fillId="11" borderId="2" xfId="20" applyNumberFormat="1" applyFont="1" applyFill="1" applyBorder="1"/>
    <xf numFmtId="0" fontId="51" fillId="0" borderId="28" xfId="20" applyNumberFormat="1" applyFont="1" applyFill="1" applyBorder="1" applyAlignment="1" applyProtection="1">
      <alignment horizontal="left"/>
    </xf>
    <xf numFmtId="0" fontId="51" fillId="0" borderId="27" xfId="0" applyFont="1" applyFill="1" applyBorder="1" applyAlignment="1">
      <alignment horizontal="left" vertical="top"/>
    </xf>
    <xf numFmtId="0" fontId="51" fillId="0" borderId="27" xfId="0" applyFont="1" applyFill="1" applyBorder="1" applyAlignment="1">
      <alignment horizontal="left"/>
    </xf>
    <xf numFmtId="0" fontId="51" fillId="0" borderId="27" xfId="20" applyNumberFormat="1" applyFont="1" applyFill="1" applyBorder="1" applyAlignment="1" applyProtection="1">
      <alignment horizontal="left"/>
    </xf>
    <xf numFmtId="0" fontId="51" fillId="0" borderId="27" xfId="0" applyFont="1" applyFill="1" applyBorder="1" applyAlignment="1">
      <alignment horizontal="left" wrapText="1"/>
    </xf>
    <xf numFmtId="49" fontId="51" fillId="0" borderId="8" xfId="20" applyNumberFormat="1" applyFont="1" applyFill="1" applyBorder="1" applyAlignment="1" applyProtection="1">
      <alignment horizontal="left"/>
    </xf>
    <xf numFmtId="0" fontId="51" fillId="0" borderId="8" xfId="0" applyFont="1" applyFill="1" applyBorder="1" applyAlignment="1">
      <alignment horizontal="left"/>
    </xf>
    <xf numFmtId="49" fontId="51" fillId="0" borderId="27" xfId="20" applyNumberFormat="1" applyFont="1" applyFill="1" applyBorder="1" applyAlignment="1" applyProtection="1">
      <alignment horizontal="left"/>
    </xf>
    <xf numFmtId="0" fontId="51" fillId="0" borderId="8" xfId="20" applyNumberFormat="1" applyFont="1" applyFill="1" applyBorder="1" applyAlignment="1" applyProtection="1">
      <alignment horizontal="left"/>
    </xf>
    <xf numFmtId="0" fontId="6" fillId="0" borderId="0" xfId="20" applyFont="1" applyBorder="1"/>
    <xf numFmtId="49" fontId="51" fillId="0" borderId="7" xfId="20" applyNumberFormat="1" applyFont="1" applyFill="1" applyBorder="1" applyAlignment="1" applyProtection="1">
      <alignment horizontal="left"/>
    </xf>
    <xf numFmtId="0" fontId="51" fillId="0" borderId="7" xfId="0" applyFont="1" applyFill="1" applyBorder="1" applyAlignment="1">
      <alignment horizontal="left" wrapText="1"/>
    </xf>
    <xf numFmtId="38" fontId="51" fillId="0" borderId="7" xfId="8" applyNumberFormat="1" applyFont="1" applyBorder="1"/>
    <xf numFmtId="6" fontId="51" fillId="0" borderId="7" xfId="20" applyNumberFormat="1" applyFont="1" applyFill="1" applyBorder="1" applyProtection="1"/>
    <xf numFmtId="6" fontId="51" fillId="40" borderId="7" xfId="20" applyNumberFormat="1" applyFont="1" applyFill="1" applyBorder="1" applyProtection="1"/>
    <xf numFmtId="0" fontId="51" fillId="0" borderId="7" xfId="20" applyNumberFormat="1" applyFont="1" applyFill="1" applyBorder="1" applyAlignment="1" applyProtection="1">
      <alignment horizontal="left"/>
    </xf>
    <xf numFmtId="0" fontId="51" fillId="0" borderId="7" xfId="0" applyFont="1" applyFill="1" applyBorder="1" applyAlignment="1">
      <alignment horizontal="left"/>
    </xf>
    <xf numFmtId="0" fontId="51" fillId="0" borderId="32" xfId="20" applyNumberFormat="1" applyFont="1" applyFill="1" applyBorder="1" applyAlignment="1" applyProtection="1">
      <alignment horizontal="left"/>
    </xf>
    <xf numFmtId="0" fontId="51" fillId="9" borderId="27" xfId="0" applyFont="1" applyFill="1" applyBorder="1" applyAlignment="1">
      <alignment horizontal="left"/>
    </xf>
    <xf numFmtId="0" fontId="51" fillId="9" borderId="7" xfId="0" applyFont="1" applyFill="1" applyBorder="1" applyAlignment="1">
      <alignment horizontal="left"/>
    </xf>
    <xf numFmtId="49" fontId="51" fillId="0" borderId="34" xfId="20" applyNumberFormat="1" applyFont="1" applyFill="1" applyBorder="1" applyAlignment="1" applyProtection="1">
      <alignment horizontal="left"/>
    </xf>
    <xf numFmtId="0" fontId="51" fillId="9" borderId="4" xfId="0" applyFont="1" applyFill="1" applyBorder="1" applyAlignment="1">
      <alignment horizontal="left"/>
    </xf>
    <xf numFmtId="0" fontId="58" fillId="11" borderId="2" xfId="20" applyFont="1" applyFill="1" applyBorder="1" applyAlignment="1" applyProtection="1"/>
    <xf numFmtId="0" fontId="51" fillId="0" borderId="8" xfId="20" applyNumberFormat="1" applyFont="1" applyFill="1" applyBorder="1" applyProtection="1"/>
    <xf numFmtId="38" fontId="51" fillId="0" borderId="8" xfId="20" applyNumberFormat="1" applyFont="1" applyFill="1" applyBorder="1" applyProtection="1"/>
    <xf numFmtId="0" fontId="51" fillId="9" borderId="34" xfId="20" applyFont="1" applyFill="1" applyBorder="1" applyAlignment="1" applyProtection="1">
      <alignment horizontal="left"/>
    </xf>
    <xf numFmtId="0" fontId="51" fillId="9" borderId="8" xfId="20" applyNumberFormat="1" applyFont="1" applyFill="1" applyBorder="1" applyProtection="1"/>
    <xf numFmtId="3" fontId="51" fillId="9" borderId="8" xfId="20" applyNumberFormat="1" applyFont="1" applyFill="1" applyBorder="1" applyProtection="1"/>
    <xf numFmtId="38" fontId="51" fillId="9" borderId="8" xfId="20" applyNumberFormat="1" applyFont="1" applyFill="1" applyBorder="1" applyProtection="1"/>
    <xf numFmtId="0" fontId="51" fillId="0" borderId="53" xfId="20" applyFont="1" applyFill="1" applyBorder="1" applyAlignment="1">
      <alignment horizontal="center"/>
    </xf>
    <xf numFmtId="0" fontId="58" fillId="0" borderId="54" xfId="20" applyFont="1" applyFill="1" applyBorder="1" applyAlignment="1" applyProtection="1">
      <alignment horizontal="center"/>
    </xf>
    <xf numFmtId="38" fontId="52" fillId="0" borderId="53" xfId="8" applyNumberFormat="1" applyFont="1" applyBorder="1" applyAlignment="1">
      <alignment horizontal="right"/>
    </xf>
    <xf numFmtId="6" fontId="52" fillId="0" borderId="53" xfId="8" applyNumberFormat="1" applyFont="1" applyBorder="1" applyAlignment="1">
      <alignment horizontal="center"/>
    </xf>
    <xf numFmtId="6" fontId="52" fillId="0" borderId="53" xfId="8" applyNumberFormat="1" applyFont="1" applyFill="1" applyBorder="1" applyAlignment="1">
      <alignment horizontal="right"/>
    </xf>
    <xf numFmtId="6" fontId="52" fillId="9" borderId="53" xfId="20" applyNumberFormat="1" applyFont="1" applyFill="1" applyBorder="1" applyAlignment="1" applyProtection="1">
      <alignment horizontal="right"/>
    </xf>
    <xf numFmtId="6" fontId="52" fillId="0" borderId="53" xfId="8" applyNumberFormat="1" applyFont="1" applyBorder="1" applyAlignment="1">
      <alignment horizontal="right"/>
    </xf>
    <xf numFmtId="0" fontId="59" fillId="0" borderId="0" xfId="20" applyFont="1" applyAlignment="1">
      <alignment horizontal="center"/>
    </xf>
    <xf numFmtId="0" fontId="51" fillId="11" borderId="50" xfId="20" applyFont="1" applyFill="1" applyBorder="1"/>
    <xf numFmtId="0" fontId="58" fillId="11" borderId="0" xfId="20" applyFont="1" applyFill="1" applyBorder="1" applyAlignment="1" applyProtection="1"/>
    <xf numFmtId="3" fontId="51" fillId="11" borderId="0" xfId="20" applyNumberFormat="1" applyFont="1" applyFill="1" applyBorder="1"/>
    <xf numFmtId="38" fontId="51" fillId="11" borderId="0" xfId="20" applyNumberFormat="1" applyFont="1" applyFill="1" applyBorder="1"/>
    <xf numFmtId="6" fontId="51" fillId="11" borderId="0" xfId="20" applyNumberFormat="1" applyFont="1" applyFill="1" applyBorder="1"/>
    <xf numFmtId="0" fontId="52" fillId="46" borderId="55" xfId="20" applyFont="1" applyFill="1" applyBorder="1" applyProtection="1"/>
    <xf numFmtId="0" fontId="58" fillId="46" borderId="56" xfId="20" applyFont="1" applyFill="1" applyBorder="1" applyAlignment="1" applyProtection="1">
      <alignment horizontal="center"/>
    </xf>
    <xf numFmtId="38" fontId="52" fillId="0" borderId="57" xfId="8" applyNumberFormat="1" applyFont="1" applyBorder="1" applyAlignment="1">
      <alignment horizontal="right"/>
    </xf>
    <xf numFmtId="6" fontId="52" fillId="0" borderId="57" xfId="8" applyNumberFormat="1" applyFont="1" applyBorder="1" applyAlignment="1">
      <alignment horizontal="right"/>
    </xf>
    <xf numFmtId="0" fontId="60" fillId="0" borderId="0" xfId="20" applyFont="1"/>
    <xf numFmtId="6" fontId="6" fillId="0" borderId="0" xfId="20" applyNumberFormat="1" applyFont="1"/>
    <xf numFmtId="0" fontId="6" fillId="0" borderId="0" xfId="20" quotePrefix="1" applyFont="1" applyFill="1" applyAlignment="1">
      <alignment horizontal="left" wrapText="1"/>
    </xf>
    <xf numFmtId="6" fontId="6" fillId="0" borderId="0" xfId="20" quotePrefix="1" applyNumberFormat="1" applyFont="1" applyFill="1" applyAlignment="1">
      <alignment horizontal="left" wrapText="1"/>
    </xf>
    <xf numFmtId="0" fontId="6" fillId="0" borderId="0" xfId="20" applyFont="1" applyAlignment="1">
      <alignment horizontal="right"/>
    </xf>
    <xf numFmtId="165" fontId="6" fillId="0" borderId="0" xfId="1" applyNumberFormat="1" applyFont="1"/>
    <xf numFmtId="165" fontId="6" fillId="0" borderId="0" xfId="1" applyNumberFormat="1" applyFont="1" applyBorder="1"/>
    <xf numFmtId="165" fontId="6" fillId="0" borderId="0" xfId="1" applyNumberFormat="1" applyFont="1" applyBorder="1" applyAlignment="1">
      <alignment horizontal="center"/>
    </xf>
    <xf numFmtId="165" fontId="6" fillId="0" borderId="4" xfId="1" applyNumberFormat="1" applyFont="1" applyBorder="1"/>
    <xf numFmtId="165" fontId="6" fillId="0" borderId="0" xfId="20" applyNumberFormat="1" applyFont="1"/>
    <xf numFmtId="164" fontId="6" fillId="0" borderId="0" xfId="20" applyNumberFormat="1" applyFont="1"/>
    <xf numFmtId="6" fontId="59" fillId="0" borderId="0" xfId="20" applyNumberFormat="1" applyFont="1"/>
    <xf numFmtId="38" fontId="52" fillId="0" borderId="57" xfId="8" applyNumberFormat="1" applyFont="1" applyBorder="1" applyAlignment="1"/>
    <xf numFmtId="0" fontId="58" fillId="46" borderId="58" xfId="20" applyFont="1" applyFill="1" applyBorder="1" applyAlignment="1" applyProtection="1">
      <alignment horizontal="center"/>
    </xf>
    <xf numFmtId="3" fontId="52" fillId="0" borderId="59" xfId="20" applyNumberFormat="1" applyFont="1" applyFill="1" applyBorder="1" applyAlignment="1">
      <alignment horizontal="right"/>
    </xf>
    <xf numFmtId="38" fontId="52" fillId="0" borderId="59" xfId="20" applyNumberFormat="1" applyFont="1" applyFill="1" applyBorder="1" applyAlignment="1">
      <alignment horizontal="right"/>
    </xf>
    <xf numFmtId="38" fontId="52" fillId="0" borderId="59" xfId="20" applyNumberFormat="1" applyFont="1" applyFill="1" applyBorder="1" applyAlignment="1"/>
    <xf numFmtId="6" fontId="52" fillId="0" borderId="59" xfId="20" applyNumberFormat="1" applyFont="1" applyFill="1" applyBorder="1"/>
    <xf numFmtId="6" fontId="52" fillId="0" borderId="59" xfId="20" applyNumberFormat="1" applyFont="1" applyFill="1" applyBorder="1" applyAlignment="1">
      <alignment horizontal="right"/>
    </xf>
    <xf numFmtId="3" fontId="52" fillId="0" borderId="59" xfId="20" applyNumberFormat="1" applyFont="1" applyFill="1" applyBorder="1" applyAlignment="1"/>
    <xf numFmtId="6" fontId="51" fillId="0" borderId="59" xfId="20" applyNumberFormat="1" applyFont="1" applyFill="1" applyBorder="1"/>
    <xf numFmtId="0" fontId="58" fillId="0" borderId="61" xfId="20" applyFont="1" applyFill="1" applyBorder="1" applyAlignment="1" applyProtection="1">
      <alignment horizontal="center"/>
    </xf>
    <xf numFmtId="38" fontId="52" fillId="0" borderId="60" xfId="8" applyNumberFormat="1" applyFont="1" applyBorder="1" applyAlignment="1">
      <alignment horizontal="right"/>
    </xf>
    <xf numFmtId="6" fontId="52" fillId="0" borderId="60" xfId="8" applyNumberFormat="1" applyFont="1" applyBorder="1" applyAlignment="1">
      <alignment horizontal="center"/>
    </xf>
    <xf numFmtId="6" fontId="52" fillId="0" borderId="60" xfId="8" applyNumberFormat="1" applyFont="1" applyFill="1" applyBorder="1" applyAlignment="1">
      <alignment horizontal="right"/>
    </xf>
    <xf numFmtId="6" fontId="52" fillId="9" borderId="60" xfId="20" applyNumberFormat="1" applyFont="1" applyFill="1" applyBorder="1" applyAlignment="1" applyProtection="1">
      <alignment horizontal="right"/>
    </xf>
    <xf numFmtId="6" fontId="52" fillId="0" borderId="60" xfId="8" applyNumberFormat="1" applyFont="1" applyBorder="1" applyAlignment="1">
      <alignment horizontal="right"/>
    </xf>
    <xf numFmtId="0" fontId="17" fillId="0" borderId="0" xfId="0" applyFont="1" applyAlignment="1">
      <alignment horizontal="left"/>
    </xf>
    <xf numFmtId="0" fontId="46" fillId="40" borderId="8" xfId="19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37" fontId="12" fillId="0" borderId="27" xfId="0" applyNumberFormat="1" applyFont="1" applyFill="1" applyBorder="1"/>
    <xf numFmtId="38" fontId="11" fillId="0" borderId="8" xfId="0" applyNumberFormat="1" applyFont="1" applyFill="1" applyBorder="1"/>
    <xf numFmtId="38" fontId="11" fillId="0" borderId="9" xfId="0" applyNumberFormat="1" applyFont="1" applyFill="1" applyBorder="1"/>
    <xf numFmtId="38" fontId="12" fillId="0" borderId="27" xfId="0" applyNumberFormat="1" applyFont="1" applyFill="1" applyBorder="1"/>
    <xf numFmtId="0" fontId="51" fillId="0" borderId="28" xfId="20" applyFont="1" applyFill="1" applyBorder="1" applyAlignment="1" applyProtection="1">
      <alignment horizontal="right"/>
    </xf>
    <xf numFmtId="0" fontId="51" fillId="0" borderId="30" xfId="20" applyFont="1" applyFill="1" applyBorder="1" applyAlignment="1" applyProtection="1">
      <alignment horizontal="right"/>
    </xf>
    <xf numFmtId="0" fontId="51" fillId="0" borderId="32" xfId="20" applyFont="1" applyFill="1" applyBorder="1" applyAlignment="1" applyProtection="1">
      <alignment horizontal="right"/>
    </xf>
    <xf numFmtId="0" fontId="51" fillId="0" borderId="34" xfId="20" applyFont="1" applyFill="1" applyBorder="1" applyAlignment="1" applyProtection="1">
      <alignment horizontal="right"/>
    </xf>
    <xf numFmtId="0" fontId="52" fillId="46" borderId="55" xfId="20" applyFont="1" applyFill="1" applyBorder="1" applyAlignment="1" applyProtection="1">
      <alignment horizontal="right"/>
    </xf>
    <xf numFmtId="0" fontId="51" fillId="11" borderId="5" xfId="20" applyFont="1" applyFill="1" applyBorder="1" applyAlignment="1">
      <alignment horizontal="right"/>
    </xf>
    <xf numFmtId="0" fontId="51" fillId="0" borderId="7" xfId="20" applyFont="1" applyBorder="1" applyAlignment="1">
      <alignment horizontal="right"/>
    </xf>
    <xf numFmtId="0" fontId="51" fillId="46" borderId="55" xfId="20" applyFont="1" applyFill="1" applyBorder="1" applyAlignment="1" applyProtection="1">
      <alignment horizontal="right"/>
    </xf>
    <xf numFmtId="0" fontId="51" fillId="10" borderId="40" xfId="20" applyFont="1" applyFill="1" applyBorder="1" applyAlignment="1">
      <alignment horizontal="right"/>
    </xf>
    <xf numFmtId="0" fontId="51" fillId="0" borderId="9" xfId="20" applyFont="1" applyFill="1" applyBorder="1" applyAlignment="1">
      <alignment horizontal="right"/>
    </xf>
    <xf numFmtId="0" fontId="51" fillId="10" borderId="43" xfId="20" applyFont="1" applyFill="1" applyBorder="1" applyAlignment="1">
      <alignment horizontal="right"/>
    </xf>
    <xf numFmtId="0" fontId="51" fillId="0" borderId="7" xfId="20" applyFont="1" applyFill="1" applyBorder="1" applyAlignment="1">
      <alignment horizontal="right"/>
    </xf>
    <xf numFmtId="0" fontId="51" fillId="0" borderId="27" xfId="20" applyFont="1" applyFill="1" applyBorder="1" applyAlignment="1">
      <alignment horizontal="right"/>
    </xf>
    <xf numFmtId="0" fontId="51" fillId="0" borderId="8" xfId="20" applyFont="1" applyFill="1" applyBorder="1" applyAlignment="1">
      <alignment horizontal="right"/>
    </xf>
    <xf numFmtId="0" fontId="51" fillId="10" borderId="1" xfId="20" applyFont="1" applyFill="1" applyBorder="1" applyAlignment="1">
      <alignment horizontal="right"/>
    </xf>
    <xf numFmtId="0" fontId="51" fillId="0" borderId="54" xfId="20" applyFont="1" applyFill="1" applyBorder="1" applyAlignment="1">
      <alignment horizontal="right"/>
    </xf>
    <xf numFmtId="0" fontId="51" fillId="10" borderId="5" xfId="20" applyFont="1" applyFill="1" applyBorder="1" applyAlignment="1">
      <alignment horizontal="right"/>
    </xf>
    <xf numFmtId="0" fontId="52" fillId="10" borderId="5" xfId="20" applyFont="1" applyFill="1" applyBorder="1" applyAlignment="1">
      <alignment horizontal="right"/>
    </xf>
    <xf numFmtId="0" fontId="51" fillId="0" borderId="15" xfId="20" applyFont="1" applyFill="1" applyBorder="1" applyAlignment="1">
      <alignment horizontal="right"/>
    </xf>
    <xf numFmtId="0" fontId="51" fillId="0" borderId="13" xfId="20" applyFont="1" applyFill="1" applyBorder="1" applyAlignment="1">
      <alignment horizontal="right"/>
    </xf>
    <xf numFmtId="0" fontId="52" fillId="10" borderId="50" xfId="20" applyFont="1" applyFill="1" applyBorder="1" applyAlignment="1">
      <alignment horizontal="right"/>
    </xf>
    <xf numFmtId="0" fontId="51" fillId="11" borderId="43" xfId="20" applyFont="1" applyFill="1" applyBorder="1" applyAlignment="1">
      <alignment horizontal="right"/>
    </xf>
    <xf numFmtId="0" fontId="51" fillId="9" borderId="28" xfId="20" applyFont="1" applyFill="1" applyBorder="1" applyAlignment="1" applyProtection="1">
      <alignment horizontal="right"/>
    </xf>
    <xf numFmtId="0" fontId="51" fillId="11" borderId="1" xfId="20" applyFont="1" applyFill="1" applyBorder="1" applyAlignment="1">
      <alignment horizontal="right"/>
    </xf>
    <xf numFmtId="0" fontId="51" fillId="0" borderId="28" xfId="20" applyNumberFormat="1" applyFont="1" applyFill="1" applyBorder="1" applyAlignment="1" applyProtection="1">
      <alignment horizontal="right"/>
    </xf>
    <xf numFmtId="0" fontId="51" fillId="0" borderId="27" xfId="20" applyNumberFormat="1" applyFont="1" applyFill="1" applyBorder="1" applyAlignment="1" applyProtection="1">
      <alignment horizontal="right"/>
    </xf>
    <xf numFmtId="49" fontId="51" fillId="0" borderId="8" xfId="20" applyNumberFormat="1" applyFont="1" applyFill="1" applyBorder="1" applyAlignment="1" applyProtection="1">
      <alignment horizontal="right"/>
    </xf>
    <xf numFmtId="49" fontId="51" fillId="0" borderId="27" xfId="20" applyNumberFormat="1" applyFont="1" applyFill="1" applyBorder="1" applyAlignment="1" applyProtection="1">
      <alignment horizontal="right"/>
    </xf>
    <xf numFmtId="0" fontId="51" fillId="0" borderId="8" xfId="20" applyNumberFormat="1" applyFont="1" applyFill="1" applyBorder="1" applyAlignment="1" applyProtection="1">
      <alignment horizontal="right"/>
    </xf>
    <xf numFmtId="49" fontId="51" fillId="0" borderId="7" xfId="20" applyNumberFormat="1" applyFont="1" applyFill="1" applyBorder="1" applyAlignment="1" applyProtection="1">
      <alignment horizontal="right"/>
    </xf>
    <xf numFmtId="0" fontId="51" fillId="0" borderId="7" xfId="20" applyNumberFormat="1" applyFont="1" applyFill="1" applyBorder="1" applyAlignment="1" applyProtection="1">
      <alignment horizontal="right"/>
    </xf>
    <xf numFmtId="0" fontId="51" fillId="0" borderId="32" xfId="20" applyNumberFormat="1" applyFont="1" applyFill="1" applyBorder="1" applyAlignment="1" applyProtection="1">
      <alignment horizontal="right"/>
    </xf>
    <xf numFmtId="49" fontId="51" fillId="0" borderId="34" xfId="20" applyNumberFormat="1" applyFont="1" applyFill="1" applyBorder="1" applyAlignment="1" applyProtection="1">
      <alignment horizontal="right"/>
    </xf>
    <xf numFmtId="0" fontId="51" fillId="9" borderId="34" xfId="20" applyFont="1" applyFill="1" applyBorder="1" applyAlignment="1" applyProtection="1">
      <alignment horizontal="right"/>
    </xf>
    <xf numFmtId="0" fontId="51" fillId="0" borderId="60" xfId="20" applyFont="1" applyFill="1" applyBorder="1" applyAlignment="1">
      <alignment horizontal="right"/>
    </xf>
    <xf numFmtId="0" fontId="51" fillId="11" borderId="50" xfId="20" applyFont="1" applyFill="1" applyBorder="1" applyAlignment="1">
      <alignment horizontal="right"/>
    </xf>
    <xf numFmtId="6" fontId="11" fillId="0" borderId="60" xfId="0" applyNumberFormat="1" applyFont="1" applyBorder="1" applyAlignment="1">
      <alignment horizontal="right"/>
    </xf>
    <xf numFmtId="6" fontId="11" fillId="0" borderId="60" xfId="0" applyNumberFormat="1" applyFont="1" applyBorder="1"/>
    <xf numFmtId="6" fontId="4" fillId="0" borderId="0" xfId="0" applyNumberFormat="1" applyFont="1" applyFill="1" applyBorder="1" applyAlignment="1">
      <alignment horizontal="center"/>
    </xf>
    <xf numFmtId="164" fontId="11" fillId="9" borderId="60" xfId="0" applyNumberFormat="1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46" fillId="40" borderId="62" xfId="19" applyFont="1" applyFill="1" applyBorder="1" applyAlignment="1">
      <alignment horizontal="center" vertical="center" wrapText="1"/>
    </xf>
    <xf numFmtId="0" fontId="14" fillId="11" borderId="64" xfId="0" applyFont="1" applyFill="1" applyBorder="1" applyAlignment="1">
      <alignment horizontal="center" wrapText="1"/>
    </xf>
    <xf numFmtId="6" fontId="12" fillId="0" borderId="65" xfId="0" applyNumberFormat="1" applyFont="1" applyFill="1" applyBorder="1"/>
    <xf numFmtId="6" fontId="12" fillId="0" borderId="66" xfId="0" applyNumberFormat="1" applyFont="1" applyFill="1" applyBorder="1"/>
    <xf numFmtId="6" fontId="11" fillId="0" borderId="63" xfId="0" applyNumberFormat="1" applyFont="1" applyFill="1" applyBorder="1"/>
    <xf numFmtId="6" fontId="11" fillId="12" borderId="67" xfId="0" applyNumberFormat="1" applyFont="1" applyFill="1" applyBorder="1"/>
    <xf numFmtId="6" fontId="11" fillId="12" borderId="68" xfId="0" applyNumberFormat="1" applyFont="1" applyFill="1" applyBorder="1"/>
    <xf numFmtId="6" fontId="12" fillId="0" borderId="63" xfId="0" applyNumberFormat="1" applyFont="1" applyFill="1" applyBorder="1"/>
    <xf numFmtId="164" fontId="11" fillId="0" borderId="13" xfId="0" applyNumberFormat="1" applyFont="1" applyFill="1" applyBorder="1"/>
    <xf numFmtId="0" fontId="14" fillId="11" borderId="64" xfId="0" applyFont="1" applyFill="1" applyBorder="1" applyAlignment="1">
      <alignment wrapText="1"/>
    </xf>
    <xf numFmtId="0" fontId="4" fillId="0" borderId="0" xfId="0" applyFont="1" applyBorder="1" applyAlignment="1">
      <alignment vertical="top" wrapText="1"/>
    </xf>
    <xf numFmtId="6" fontId="12" fillId="48" borderId="8" xfId="0" applyNumberFormat="1" applyFont="1" applyFill="1" applyBorder="1"/>
    <xf numFmtId="6" fontId="12" fillId="48" borderId="10" xfId="0" applyNumberFormat="1" applyFont="1" applyFill="1" applyBorder="1"/>
    <xf numFmtId="6" fontId="12" fillId="48" borderId="11" xfId="0" applyNumberFormat="1" applyFont="1" applyFill="1" applyBorder="1"/>
    <xf numFmtId="6" fontId="12" fillId="48" borderId="12" xfId="0" applyNumberFormat="1" applyFont="1" applyFill="1" applyBorder="1"/>
    <xf numFmtId="6" fontId="12" fillId="48" borderId="9" xfId="0" applyNumberFormat="1" applyFont="1" applyFill="1" applyBorder="1"/>
    <xf numFmtId="6" fontId="11" fillId="48" borderId="9" xfId="0" applyNumberFormat="1" applyFont="1" applyFill="1" applyBorder="1"/>
    <xf numFmtId="164" fontId="11" fillId="48" borderId="13" xfId="0" applyNumberFormat="1" applyFont="1" applyFill="1" applyBorder="1"/>
    <xf numFmtId="6" fontId="12" fillId="48" borderId="65" xfId="0" applyNumberFormat="1" applyFont="1" applyFill="1" applyBorder="1"/>
    <xf numFmtId="6" fontId="12" fillId="48" borderId="63" xfId="0" applyNumberFormat="1" applyFont="1" applyFill="1" applyBorder="1"/>
    <xf numFmtId="6" fontId="11" fillId="48" borderId="63" xfId="0" applyNumberFormat="1" applyFont="1" applyFill="1" applyBorder="1"/>
    <xf numFmtId="0" fontId="46" fillId="48" borderId="62" xfId="19" applyFont="1" applyFill="1" applyBorder="1" applyAlignment="1">
      <alignment horizontal="center" vertical="center" wrapText="1"/>
    </xf>
    <xf numFmtId="0" fontId="46" fillId="48" borderId="8" xfId="19" applyFont="1" applyFill="1" applyBorder="1" applyAlignment="1">
      <alignment horizontal="center" vertical="center" wrapText="1"/>
    </xf>
    <xf numFmtId="6" fontId="11" fillId="9" borderId="13" xfId="0" applyNumberFormat="1" applyFont="1" applyFill="1" applyBorder="1"/>
    <xf numFmtId="6" fontId="11" fillId="9" borderId="60" xfId="0" applyNumberFormat="1" applyFont="1" applyFill="1" applyBorder="1"/>
    <xf numFmtId="165" fontId="4" fillId="0" borderId="0" xfId="1" applyNumberFormat="1" applyFont="1" applyBorder="1" applyAlignment="1">
      <alignment horizontal="center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45" fillId="3" borderId="7" xfId="19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3" fillId="14" borderId="2" xfId="0" applyFont="1" applyFill="1" applyBorder="1" applyAlignment="1">
      <alignment horizontal="center" vertical="center"/>
    </xf>
    <xf numFmtId="0" fontId="23" fillId="14" borderId="3" xfId="0" applyFont="1" applyFill="1" applyBorder="1" applyAlignment="1">
      <alignment horizontal="center" vertical="center"/>
    </xf>
    <xf numFmtId="0" fontId="8" fillId="14" borderId="7" xfId="0" applyFont="1" applyFill="1" applyBorder="1" applyAlignment="1">
      <alignment horizontal="center" vertical="center" wrapText="1"/>
    </xf>
    <xf numFmtId="0" fontId="8" fillId="14" borderId="8" xfId="0" applyFont="1" applyFill="1" applyBorder="1" applyAlignment="1">
      <alignment horizontal="center" vertical="center" wrapText="1"/>
    </xf>
    <xf numFmtId="0" fontId="46" fillId="14" borderId="7" xfId="19" applyFont="1" applyFill="1" applyBorder="1" applyAlignment="1">
      <alignment horizontal="center" vertical="center" wrapText="1"/>
    </xf>
    <xf numFmtId="0" fontId="46" fillId="14" borderId="8" xfId="19" applyFont="1" applyFill="1" applyBorder="1" applyAlignment="1">
      <alignment horizontal="center" vertical="center" wrapText="1"/>
    </xf>
    <xf numFmtId="0" fontId="45" fillId="44" borderId="1" xfId="19" applyFont="1" applyFill="1" applyBorder="1" applyAlignment="1" applyProtection="1">
      <alignment horizontal="center" vertical="center" wrapText="1"/>
    </xf>
    <xf numFmtId="0" fontId="45" fillId="44" borderId="3" xfId="19" applyFont="1" applyFill="1" applyBorder="1" applyAlignment="1" applyProtection="1">
      <alignment horizontal="center" vertical="center" wrapText="1"/>
    </xf>
    <xf numFmtId="0" fontId="45" fillId="3" borderId="1" xfId="19" applyFont="1" applyFill="1" applyBorder="1" applyAlignment="1">
      <alignment horizontal="center" vertical="center" wrapText="1"/>
    </xf>
    <xf numFmtId="0" fontId="45" fillId="3" borderId="2" xfId="19" applyFont="1" applyFill="1" applyBorder="1" applyAlignment="1">
      <alignment horizontal="center" vertical="center" wrapText="1"/>
    </xf>
    <xf numFmtId="0" fontId="45" fillId="3" borderId="3" xfId="19" applyFont="1" applyFill="1" applyBorder="1" applyAlignment="1">
      <alignment horizontal="center" vertical="center" wrapText="1"/>
    </xf>
    <xf numFmtId="0" fontId="45" fillId="3" borderId="69" xfId="19" applyFont="1" applyFill="1" applyBorder="1" applyAlignment="1">
      <alignment horizontal="center" vertical="center" wrapText="1"/>
    </xf>
    <xf numFmtId="0" fontId="45" fillId="3" borderId="67" xfId="19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14" fillId="11" borderId="1" xfId="0" applyFont="1" applyFill="1" applyBorder="1" applyAlignment="1">
      <alignment horizontal="center" wrapText="1"/>
    </xf>
    <xf numFmtId="0" fontId="14" fillId="11" borderId="2" xfId="0" applyFont="1" applyFill="1" applyBorder="1" applyAlignment="1">
      <alignment horizontal="center" wrapText="1"/>
    </xf>
    <xf numFmtId="0" fontId="46" fillId="40" borderId="7" xfId="19" applyFont="1" applyFill="1" applyBorder="1" applyAlignment="1">
      <alignment horizontal="center" vertical="center" wrapText="1"/>
    </xf>
    <xf numFmtId="0" fontId="46" fillId="40" borderId="8" xfId="19" applyFont="1" applyFill="1" applyBorder="1" applyAlignment="1">
      <alignment horizontal="center" vertical="center" wrapText="1"/>
    </xf>
    <xf numFmtId="0" fontId="10" fillId="15" borderId="62" xfId="0" applyFont="1" applyFill="1" applyBorder="1" applyAlignment="1">
      <alignment horizontal="center" vertical="center" wrapText="1"/>
    </xf>
    <xf numFmtId="0" fontId="10" fillId="15" borderId="8" xfId="0" applyFont="1" applyFill="1" applyBorder="1" applyAlignment="1">
      <alignment horizontal="center" vertical="center" wrapText="1"/>
    </xf>
    <xf numFmtId="0" fontId="46" fillId="13" borderId="7" xfId="19" applyFont="1" applyFill="1" applyBorder="1" applyAlignment="1">
      <alignment horizontal="center" vertical="center" wrapText="1"/>
    </xf>
    <xf numFmtId="0" fontId="46" fillId="13" borderId="8" xfId="19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45" fillId="0" borderId="4" xfId="19" applyFont="1" applyFill="1" applyBorder="1" applyAlignment="1">
      <alignment horizontal="center" vertical="center" wrapText="1"/>
    </xf>
    <xf numFmtId="0" fontId="46" fillId="41" borderId="7" xfId="19" applyFont="1" applyFill="1" applyBorder="1" applyAlignment="1">
      <alignment horizontal="center" vertical="center" wrapText="1"/>
    </xf>
    <xf numFmtId="0" fontId="46" fillId="14" borderId="1" xfId="19" applyFont="1" applyFill="1" applyBorder="1" applyAlignment="1">
      <alignment horizontal="center" vertical="center" wrapText="1"/>
    </xf>
    <xf numFmtId="0" fontId="46" fillId="14" borderId="2" xfId="19" applyFont="1" applyFill="1" applyBorder="1" applyAlignment="1">
      <alignment horizontal="center" vertical="center" wrapText="1"/>
    </xf>
    <xf numFmtId="0" fontId="46" fillId="14" borderId="3" xfId="19" applyFont="1" applyFill="1" applyBorder="1" applyAlignment="1">
      <alignment horizontal="center" vertical="center" wrapText="1"/>
    </xf>
    <xf numFmtId="0" fontId="46" fillId="41" borderId="8" xfId="19" applyFont="1" applyFill="1" applyBorder="1" applyAlignment="1">
      <alignment horizontal="center" vertical="center" wrapText="1"/>
    </xf>
    <xf numFmtId="0" fontId="10" fillId="49" borderId="62" xfId="0" applyFont="1" applyFill="1" applyBorder="1" applyAlignment="1">
      <alignment horizontal="center" vertical="center" wrapText="1"/>
    </xf>
    <xf numFmtId="0" fontId="10" fillId="49" borderId="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5" fillId="42" borderId="1" xfId="19" applyFont="1" applyFill="1" applyBorder="1" applyAlignment="1">
      <alignment horizontal="center" vertical="center" wrapText="1"/>
    </xf>
    <xf numFmtId="0" fontId="45" fillId="42" borderId="2" xfId="19" applyFont="1" applyFill="1" applyBorder="1" applyAlignment="1">
      <alignment horizontal="center" vertical="center" wrapText="1"/>
    </xf>
    <xf numFmtId="0" fontId="45" fillId="42" borderId="3" xfId="19" applyFont="1" applyFill="1" applyBorder="1" applyAlignment="1">
      <alignment horizontal="center" vertical="center" wrapText="1"/>
    </xf>
    <xf numFmtId="0" fontId="46" fillId="38" borderId="9" xfId="19" applyFont="1" applyFill="1" applyBorder="1" applyAlignment="1">
      <alignment horizontal="center" vertical="center" wrapText="1"/>
    </xf>
    <xf numFmtId="0" fontId="48" fillId="3" borderId="2" xfId="19" quotePrefix="1" applyFont="1" applyFill="1" applyBorder="1" applyAlignment="1">
      <alignment horizontal="center" vertical="center" wrapText="1"/>
    </xf>
    <xf numFmtId="0" fontId="48" fillId="3" borderId="3" xfId="19" quotePrefix="1" applyFont="1" applyFill="1" applyBorder="1" applyAlignment="1">
      <alignment horizontal="center" vertical="center" wrapText="1"/>
    </xf>
    <xf numFmtId="0" fontId="46" fillId="45" borderId="7" xfId="19" applyFont="1" applyFill="1" applyBorder="1" applyAlignment="1">
      <alignment horizontal="center" vertical="center" wrapText="1"/>
    </xf>
    <xf numFmtId="0" fontId="46" fillId="45" borderId="8" xfId="19" applyFont="1" applyFill="1" applyBorder="1" applyAlignment="1">
      <alignment horizontal="center" vertical="center" wrapText="1"/>
    </xf>
    <xf numFmtId="0" fontId="46" fillId="48" borderId="7" xfId="19" applyFont="1" applyFill="1" applyBorder="1" applyAlignment="1">
      <alignment horizontal="center" vertical="center" wrapText="1"/>
    </xf>
    <xf numFmtId="0" fontId="46" fillId="48" borderId="8" xfId="19" applyFont="1" applyFill="1" applyBorder="1" applyAlignment="1">
      <alignment horizontal="center" vertical="center" wrapText="1"/>
    </xf>
    <xf numFmtId="0" fontId="46" fillId="43" borderId="7" xfId="19" applyFont="1" applyFill="1" applyBorder="1" applyAlignment="1">
      <alignment horizontal="center" vertical="center" wrapText="1"/>
    </xf>
    <xf numFmtId="0" fontId="46" fillId="43" borderId="8" xfId="19" applyFont="1" applyFill="1" applyBorder="1" applyAlignment="1">
      <alignment horizontal="center" vertical="center" wrapText="1"/>
    </xf>
    <xf numFmtId="6" fontId="52" fillId="40" borderId="7" xfId="20" applyNumberFormat="1" applyFont="1" applyFill="1" applyBorder="1" applyAlignment="1">
      <alignment horizontal="center" vertical="center" wrapText="1"/>
    </xf>
    <xf numFmtId="6" fontId="52" fillId="40" borderId="8" xfId="20" applyNumberFormat="1" applyFont="1" applyFill="1" applyBorder="1" applyAlignment="1">
      <alignment horizontal="center" vertical="center" wrapText="1"/>
    </xf>
    <xf numFmtId="0" fontId="6" fillId="0" borderId="0" xfId="20" applyFont="1" applyFill="1" applyAlignment="1">
      <alignment horizontal="left" wrapText="1"/>
    </xf>
    <xf numFmtId="0" fontId="6" fillId="0" borderId="0" xfId="20" quotePrefix="1" applyFont="1" applyFill="1" applyAlignment="1">
      <alignment horizontal="left" wrapText="1"/>
    </xf>
    <xf numFmtId="0" fontId="52" fillId="40" borderId="9" xfId="20" applyFont="1" applyFill="1" applyBorder="1" applyAlignment="1">
      <alignment horizontal="center" vertical="center" wrapText="1"/>
    </xf>
    <xf numFmtId="6" fontId="52" fillId="4" borderId="7" xfId="20" applyNumberFormat="1" applyFont="1" applyFill="1" applyBorder="1" applyAlignment="1">
      <alignment horizontal="center" vertical="center" wrapText="1"/>
    </xf>
    <xf numFmtId="6" fontId="52" fillId="4" borderId="8" xfId="20" applyNumberFormat="1" applyFont="1" applyFill="1" applyBorder="1" applyAlignment="1">
      <alignment horizontal="center" vertical="center" wrapText="1"/>
    </xf>
    <xf numFmtId="164" fontId="52" fillId="4" borderId="7" xfId="20" applyNumberFormat="1" applyFont="1" applyFill="1" applyBorder="1" applyAlignment="1">
      <alignment horizontal="center" vertical="center" wrapText="1"/>
    </xf>
    <xf numFmtId="164" fontId="52" fillId="4" borderId="8" xfId="20" applyNumberFormat="1" applyFont="1" applyFill="1" applyBorder="1" applyAlignment="1">
      <alignment horizontal="center" vertical="center" wrapText="1"/>
    </xf>
    <xf numFmtId="0" fontId="52" fillId="4" borderId="7" xfId="20" applyFont="1" applyFill="1" applyBorder="1" applyAlignment="1">
      <alignment horizontal="center" vertical="center" wrapText="1"/>
    </xf>
    <xf numFmtId="0" fontId="52" fillId="4" borderId="8" xfId="20" applyFont="1" applyFill="1" applyBorder="1" applyAlignment="1">
      <alignment horizontal="center" vertical="center" wrapText="1"/>
    </xf>
    <xf numFmtId="0" fontId="51" fillId="4" borderId="9" xfId="20" applyFont="1" applyFill="1" applyBorder="1" applyAlignment="1">
      <alignment horizontal="center" vertical="center" wrapText="1"/>
    </xf>
    <xf numFmtId="0" fontId="51" fillId="4" borderId="9" xfId="20" applyFont="1" applyFill="1" applyBorder="1" applyAlignment="1">
      <alignment horizontal="center" vertical="center"/>
    </xf>
    <xf numFmtId="0" fontId="51" fillId="4" borderId="7" xfId="20" applyFont="1" applyFill="1" applyBorder="1" applyAlignment="1">
      <alignment horizontal="center" vertical="center" wrapText="1"/>
    </xf>
    <xf numFmtId="0" fontId="51" fillId="4" borderId="8" xfId="20" applyFont="1" applyFill="1" applyBorder="1" applyAlignment="1">
      <alignment horizontal="center" vertical="center" wrapText="1"/>
    </xf>
  </cellXfs>
  <cellStyles count="90"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heck Cell 2" xfId="59"/>
    <cellStyle name="Comma" xfId="1" builtinId="3"/>
    <cellStyle name="Comma 2" xfId="2"/>
    <cellStyle name="Comma 2 2" xfId="3"/>
    <cellStyle name="Comma 3" xfId="4"/>
    <cellStyle name="Comma 3 2" xfId="5"/>
    <cellStyle name="Comma 4" xfId="6"/>
    <cellStyle name="Comma 5" xfId="7"/>
    <cellStyle name="Comma 5 2" xfId="8"/>
    <cellStyle name="Comma 5 3" xfId="9"/>
    <cellStyle name="Comma 5 4" xfId="74"/>
    <cellStyle name="Comma 6" xfId="10"/>
    <cellStyle name="Comma 6 2" xfId="75"/>
    <cellStyle name="Comma 7" xfId="11"/>
    <cellStyle name="Comma 7 2" xfId="76"/>
    <cellStyle name="Currency 2" xfId="12"/>
    <cellStyle name="Currency 2 2" xfId="13"/>
    <cellStyle name="Currency 3" xfId="14"/>
    <cellStyle name="Currency 3 2" xfId="15"/>
    <cellStyle name="Explanatory Text 2" xfId="60"/>
    <cellStyle name="Good 2" xfId="61"/>
    <cellStyle name="Heading 1 2" xfId="62"/>
    <cellStyle name="Heading 2 2" xfId="63"/>
    <cellStyle name="Heading 3 2" xfId="64"/>
    <cellStyle name="Heading 4 2" xfId="65"/>
    <cellStyle name="Input 2" xfId="66"/>
    <cellStyle name="Linked Cell 2" xfId="67"/>
    <cellStyle name="Neutral 2" xfId="68"/>
    <cellStyle name="Normal" xfId="0" builtinId="0"/>
    <cellStyle name="Normal 10" xfId="16"/>
    <cellStyle name="Normal 10 2" xfId="77"/>
    <cellStyle name="Normal 11" xfId="17"/>
    <cellStyle name="Normal 11 2" xfId="78"/>
    <cellStyle name="Normal 12" xfId="18"/>
    <cellStyle name="Normal 12 2" xfId="79"/>
    <cellStyle name="Normal 13" xfId="80"/>
    <cellStyle name="Normal 14" xfId="81"/>
    <cellStyle name="Normal 2" xfId="19"/>
    <cellStyle name="Normal 2 2" xfId="20"/>
    <cellStyle name="Normal 2 3" xfId="21"/>
    <cellStyle name="Normal 2 3 2" xfId="82"/>
    <cellStyle name="Normal 2 4" xfId="22"/>
    <cellStyle name="Normal 2 5" xfId="83"/>
    <cellStyle name="Normal 3" xfId="23"/>
    <cellStyle name="Normal 3 2" xfId="84"/>
    <cellStyle name="Normal 4" xfId="24"/>
    <cellStyle name="Normal 4 2" xfId="85"/>
    <cellStyle name="Normal 5" xfId="25"/>
    <cellStyle name="Normal 5 2" xfId="86"/>
    <cellStyle name="Normal 6" xfId="26"/>
    <cellStyle name="Normal 6 2" xfId="87"/>
    <cellStyle name="Normal 7" xfId="27"/>
    <cellStyle name="Normal 7 2" xfId="88"/>
    <cellStyle name="Normal 8" xfId="28"/>
    <cellStyle name="Normal 9" xfId="29"/>
    <cellStyle name="Normal 9 2" xfId="89"/>
    <cellStyle name="Note 2" xfId="69"/>
    <cellStyle name="Output 2" xfId="70"/>
    <cellStyle name="Percent 2" xfId="30"/>
    <cellStyle name="Percent 2 2" xfId="31"/>
    <cellStyle name="Percent 3" xfId="32"/>
    <cellStyle name="Title 2" xfId="71"/>
    <cellStyle name="Total 2" xfId="72"/>
    <cellStyle name="Warning Text 2" xfId="73"/>
  </cellStyles>
  <dxfs count="0"/>
  <tableStyles count="0" defaultTableStyle="TableStyleMedium2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3-2014/RSD%20Allocations%20and%20Differentiated%20Funding/Differentiated%20Funding%20Calculations/Initial%20Calculation/FY2013-14%20SPECIAL%20ED%20FUNDING%20FOR%20RSD%20ORLEANS_Initial%20Calculation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3-2014/RSD%20Allocations%20and%20Differentiated%20Funding/January%202014_Decrease%20RSD%20Operated%20again/January%202014_RSD%20Orleans%20Allocation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3-2014/RSD%20Allocations%20and%20Differentiated%20Funding/February_Forward%20Funding_Crescent%20Leadership%20Academy/February%202014_RSD%20Orleans%20Allocation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3-2014/Prior%20Year%20Adjusted%20Budget%20Letter/FY2012-13%20Adjusted%20BL_CAFR,%20Base%20and%20October%20midyear/Revised_Summary%20of%20Audit%20Adjs%20for%2013-14%20MFP_state%20and%20local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3-2014/RSD%20Allocations%20and%20Differentiated%20Funding/July%202013/July%202013_RSD%20Orleans%20Allocation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3-2014_tax%20and%20student%20data/Student%20Data/SIS/February%202013/February%202013/RSD_NO_by_Site_Feb_1_2013_MFP_Membership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3-2014_tax%20and%20student%20data/Student%20Data/SIS/February%202013/February%202013/KIPP_398_by_Site_and_Grade_Feb_1_2013_MFP_Membership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EFS/MFPAdm/MFP%20Budget%20Letter/2013-2014/Budget%20Letter/July%202013/FY2013-14%20MFP%20Budget%20Letter-%20July%20201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3-2014/Budget%20Letter/Mid-Year%20Adjustments_October%20and%20February/FY2013-14%20Midyear%20Adjustments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3-2014/Budget%20Letter/July%202013/FY2013-14%20MFP%20Budget%20Letter-%20July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3-2014/RSD%20Allocations%20and%20Differentiated%20Funding/Differentiated%20Funding%20Calculations/Final%20Calculation/FY2013-14%20SPECIAL%20ED%20FUNDING%20FOR%20RSD%20ORLEANS_March%20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3-2014/Budget%20Letter/March%202014/FY2013-14%20MFP%20BUDGET%20LETTER-%20March%20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3-2014/RSD%20Allocations%20and%20Differentiated%20Funding/Differentiated%20Funding%20Calculations/Final%20Calculation/2-1-14%20SWD%20by%20Severity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3-2014_tax%20and%20student%20data/Prior%20Year%20Adjusted%20Budget%20Letter/FY2012-13%20Adjusted%20BL_CAFR,%20Base%20and%20October%20midyear/Revised_Summary%20of%20Audit%20Adjs%20for%2013-14%20MFP_state%20and%20loc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3-2014/RSD%20Allocations%20and%20Differentiated%20Funding/July%202013/July%202013_RSD%20Orleans%20Allocation%20-%20newslette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3-2014/RSD%20Allocations%20and%20Differentiated%20Funding/August%202013_Forward%20Funding/August%202013_RSD%20Orleans%20Allocation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3-2014/RSD%20Allocations%20and%20Differentiated%20Funding/September%202013_Forward%20Funding/September%202013_RSD%20Orleans%20Allocation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3-2014/RSD%20Allocations%20and%20Differentiated%20Funding/December%202013_Significant%20Decreases/December%202013_RSD%20Orleans%20Allo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1-13 Initial SWD Counts"/>
      <sheetName val="Diff Funding Calculation"/>
    </sheetNames>
    <sheetDataSet>
      <sheetData sheetId="0">
        <row r="5">
          <cell r="F5">
            <v>341.77387603085924</v>
          </cell>
        </row>
      </sheetData>
      <sheetData sheetId="1">
        <row r="32">
          <cell r="D32">
            <v>2466.1783142239633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able 5B1_RSD_Orleans"/>
    </sheetNames>
    <sheetDataSet>
      <sheetData sheetId="0"/>
      <sheetData sheetId="1">
        <row r="7">
          <cell r="W7">
            <v>364260</v>
          </cell>
          <cell r="AK7">
            <v>378368.10366666672</v>
          </cell>
        </row>
        <row r="10">
          <cell r="W10">
            <v>124440</v>
          </cell>
          <cell r="AK10">
            <v>151855.48799999998</v>
          </cell>
        </row>
        <row r="11">
          <cell r="W11">
            <v>148659</v>
          </cell>
          <cell r="AK11">
            <v>173985.33600000001</v>
          </cell>
        </row>
        <row r="12">
          <cell r="W12">
            <v>204746</v>
          </cell>
          <cell r="AK12">
            <v>250007.54799999998</v>
          </cell>
        </row>
        <row r="13">
          <cell r="W13">
            <v>129484</v>
          </cell>
          <cell r="AK13">
            <v>156322.72199999998</v>
          </cell>
        </row>
        <row r="14">
          <cell r="W14">
            <v>55956</v>
          </cell>
          <cell r="AK14">
            <v>69318.407999999996</v>
          </cell>
        </row>
        <row r="15">
          <cell r="W15">
            <v>51350</v>
          </cell>
          <cell r="AK15">
            <v>72428.733999999997</v>
          </cell>
        </row>
        <row r="16">
          <cell r="W16">
            <v>119539</v>
          </cell>
          <cell r="AK16">
            <v>134402.11199999999</v>
          </cell>
        </row>
        <row r="17">
          <cell r="W17">
            <v>179396</v>
          </cell>
          <cell r="AK17">
            <v>199944.82999999996</v>
          </cell>
        </row>
        <row r="18">
          <cell r="W18">
            <v>113156</v>
          </cell>
          <cell r="AK18">
            <v>128560.444</v>
          </cell>
        </row>
        <row r="19">
          <cell r="W19">
            <v>182296</v>
          </cell>
          <cell r="AK19">
            <v>199548.88800000001</v>
          </cell>
        </row>
        <row r="20">
          <cell r="W20">
            <v>54948</v>
          </cell>
          <cell r="AK20">
            <v>76849.856000000014</v>
          </cell>
        </row>
        <row r="21">
          <cell r="W21">
            <v>143898</v>
          </cell>
          <cell r="AK21">
            <v>149947.80799999999</v>
          </cell>
        </row>
        <row r="22">
          <cell r="W22">
            <v>128189</v>
          </cell>
          <cell r="AK22">
            <v>160240.13600000003</v>
          </cell>
        </row>
        <row r="23">
          <cell r="W23">
            <v>253339</v>
          </cell>
          <cell r="AK23">
            <v>248912.30599999998</v>
          </cell>
        </row>
        <row r="24">
          <cell r="W24">
            <v>241135</v>
          </cell>
          <cell r="AK24">
            <v>250088.22999999998</v>
          </cell>
        </row>
        <row r="25">
          <cell r="W25">
            <v>218452</v>
          </cell>
          <cell r="AK25">
            <v>243808.38399999996</v>
          </cell>
        </row>
        <row r="26">
          <cell r="W26">
            <v>62220</v>
          </cell>
          <cell r="AK26">
            <v>71907.077999999994</v>
          </cell>
        </row>
        <row r="27">
          <cell r="W27">
            <v>61902</v>
          </cell>
          <cell r="AK27">
            <v>68153.030000000013</v>
          </cell>
        </row>
        <row r="28">
          <cell r="W28">
            <v>277467</v>
          </cell>
          <cell r="AK28">
            <v>312105.20800000004</v>
          </cell>
        </row>
        <row r="29">
          <cell r="W29">
            <v>151199</v>
          </cell>
          <cell r="AK29">
            <v>152237.144</v>
          </cell>
        </row>
        <row r="30">
          <cell r="W30">
            <v>135003</v>
          </cell>
          <cell r="AK30">
            <v>151855.48799999998</v>
          </cell>
        </row>
        <row r="31">
          <cell r="W31">
            <v>139100</v>
          </cell>
          <cell r="AK31">
            <v>153381.71200000003</v>
          </cell>
        </row>
        <row r="32">
          <cell r="W32">
            <v>177518</v>
          </cell>
          <cell r="AK32">
            <v>189656.50399999999</v>
          </cell>
        </row>
        <row r="33">
          <cell r="W33">
            <v>155235</v>
          </cell>
          <cell r="AK33">
            <v>152300.356</v>
          </cell>
        </row>
        <row r="34">
          <cell r="W34">
            <v>84725</v>
          </cell>
          <cell r="AK34">
            <v>90135.188000000009</v>
          </cell>
        </row>
        <row r="35">
          <cell r="W35">
            <v>73670</v>
          </cell>
          <cell r="AK35">
            <v>80693.612000000008</v>
          </cell>
        </row>
        <row r="36">
          <cell r="W36">
            <v>104571</v>
          </cell>
          <cell r="AK36">
            <v>102688.25</v>
          </cell>
        </row>
        <row r="37">
          <cell r="W37">
            <v>118453</v>
          </cell>
          <cell r="AK37">
            <v>134304.51200000002</v>
          </cell>
        </row>
        <row r="38">
          <cell r="W38">
            <v>178005</v>
          </cell>
          <cell r="AK38">
            <v>188102.50800000003</v>
          </cell>
        </row>
        <row r="39">
          <cell r="W39">
            <v>112607</v>
          </cell>
          <cell r="AK39">
            <v>127109.45600000001</v>
          </cell>
        </row>
        <row r="40">
          <cell r="W40">
            <v>213783</v>
          </cell>
          <cell r="AK40">
            <v>232330.54799999998</v>
          </cell>
        </row>
        <row r="41">
          <cell r="W41">
            <v>146673</v>
          </cell>
          <cell r="AK41">
            <v>215318.42799999999</v>
          </cell>
        </row>
        <row r="42">
          <cell r="W42">
            <v>222888</v>
          </cell>
          <cell r="AK42">
            <v>264793.46399999998</v>
          </cell>
        </row>
        <row r="43">
          <cell r="W43">
            <v>125388</v>
          </cell>
          <cell r="AK43">
            <v>132396.63200000001</v>
          </cell>
        </row>
        <row r="44">
          <cell r="W44">
            <v>126103</v>
          </cell>
          <cell r="AK44">
            <v>162507.5</v>
          </cell>
        </row>
        <row r="45">
          <cell r="W45">
            <v>309272</v>
          </cell>
          <cell r="AK45">
            <v>338225.46600000001</v>
          </cell>
        </row>
        <row r="46">
          <cell r="W46">
            <v>157854</v>
          </cell>
          <cell r="AK46">
            <v>177975.84600000002</v>
          </cell>
        </row>
        <row r="47">
          <cell r="W47">
            <v>130792</v>
          </cell>
          <cell r="AK47">
            <v>169406.66399999999</v>
          </cell>
        </row>
        <row r="48">
          <cell r="W48">
            <v>217758</v>
          </cell>
          <cell r="AK48">
            <v>256256.13800000001</v>
          </cell>
        </row>
        <row r="49">
          <cell r="W49">
            <v>200103</v>
          </cell>
          <cell r="AK49">
            <v>230868.236</v>
          </cell>
        </row>
        <row r="50">
          <cell r="W50">
            <v>211871</v>
          </cell>
          <cell r="AK50">
            <v>238755.40399999998</v>
          </cell>
        </row>
        <row r="51">
          <cell r="W51">
            <v>160509</v>
          </cell>
          <cell r="AK51">
            <v>179487.5</v>
          </cell>
        </row>
        <row r="52">
          <cell r="W52">
            <v>291064</v>
          </cell>
          <cell r="AK52">
            <v>327510.47399999999</v>
          </cell>
        </row>
        <row r="53">
          <cell r="W53">
            <v>69053</v>
          </cell>
          <cell r="AK53">
            <v>74730.47600000001</v>
          </cell>
        </row>
        <row r="54">
          <cell r="W54">
            <v>153021</v>
          </cell>
          <cell r="AK54">
            <v>184287.04799999998</v>
          </cell>
        </row>
        <row r="55">
          <cell r="W55">
            <v>235474</v>
          </cell>
          <cell r="AK55">
            <v>275025.74799999996</v>
          </cell>
        </row>
        <row r="56">
          <cell r="W56">
            <v>284935</v>
          </cell>
          <cell r="AK56">
            <v>325193.83399999997</v>
          </cell>
        </row>
        <row r="57">
          <cell r="W57">
            <v>141148</v>
          </cell>
          <cell r="AK57">
            <v>155051.73000000001</v>
          </cell>
        </row>
        <row r="58">
          <cell r="W58">
            <v>168021</v>
          </cell>
          <cell r="AK58">
            <v>195733.52799999996</v>
          </cell>
        </row>
        <row r="59">
          <cell r="W59">
            <v>148024</v>
          </cell>
          <cell r="AK59">
            <v>158426.67799999999</v>
          </cell>
        </row>
        <row r="60">
          <cell r="W60">
            <v>290772</v>
          </cell>
          <cell r="AK60">
            <v>313551.52400000003</v>
          </cell>
        </row>
        <row r="61">
          <cell r="W61">
            <v>201972</v>
          </cell>
          <cell r="AK61">
            <v>193825.64800000002</v>
          </cell>
        </row>
        <row r="62">
          <cell r="W62">
            <v>203381</v>
          </cell>
          <cell r="AK62">
            <v>184875.01</v>
          </cell>
        </row>
        <row r="63">
          <cell r="W63">
            <v>156931</v>
          </cell>
          <cell r="AK63">
            <v>150330.46400000001</v>
          </cell>
        </row>
        <row r="64">
          <cell r="W64">
            <v>185087</v>
          </cell>
          <cell r="AK64">
            <v>180090.03200000001</v>
          </cell>
        </row>
        <row r="65">
          <cell r="W65">
            <v>230048</v>
          </cell>
          <cell r="AK65">
            <v>246097.52000000002</v>
          </cell>
        </row>
        <row r="66">
          <cell r="W66">
            <v>212341</v>
          </cell>
          <cell r="AK66">
            <v>238848.25600000002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able 5B1_RSD_Orleans"/>
    </sheetNames>
    <sheetDataSet>
      <sheetData sheetId="0"/>
      <sheetData sheetId="1">
        <row r="7">
          <cell r="W7">
            <v>365216</v>
          </cell>
          <cell r="AK7">
            <v>379586.88766666671</v>
          </cell>
        </row>
        <row r="10">
          <cell r="W10">
            <v>124439</v>
          </cell>
          <cell r="AK10">
            <v>151855.48799999998</v>
          </cell>
        </row>
        <row r="11">
          <cell r="W11">
            <v>148658</v>
          </cell>
          <cell r="AK11">
            <v>173985.33599999998</v>
          </cell>
        </row>
        <row r="12">
          <cell r="W12">
            <v>204745</v>
          </cell>
          <cell r="AK12">
            <v>250007.54800000001</v>
          </cell>
        </row>
        <row r="13">
          <cell r="W13">
            <v>129484</v>
          </cell>
          <cell r="AK13">
            <v>156322.72199999998</v>
          </cell>
        </row>
        <row r="14">
          <cell r="W14">
            <v>55956</v>
          </cell>
          <cell r="AK14">
            <v>69318.407999999996</v>
          </cell>
        </row>
        <row r="15">
          <cell r="W15">
            <v>104869</v>
          </cell>
          <cell r="AK15">
            <v>140680.63800000004</v>
          </cell>
        </row>
        <row r="16">
          <cell r="W16">
            <v>119538</v>
          </cell>
          <cell r="AK16">
            <v>134402.11200000002</v>
          </cell>
        </row>
        <row r="17">
          <cell r="W17">
            <v>179396</v>
          </cell>
          <cell r="AK17">
            <v>199944.83</v>
          </cell>
        </row>
        <row r="18">
          <cell r="W18">
            <v>113156</v>
          </cell>
          <cell r="AK18">
            <v>128560.44399999999</v>
          </cell>
        </row>
        <row r="19">
          <cell r="W19">
            <v>182295</v>
          </cell>
          <cell r="AK19">
            <v>199548.88799999998</v>
          </cell>
        </row>
        <row r="20">
          <cell r="W20">
            <v>54948</v>
          </cell>
          <cell r="AK20">
            <v>76849.856</v>
          </cell>
        </row>
        <row r="21">
          <cell r="W21">
            <v>143897</v>
          </cell>
          <cell r="AK21">
            <v>149947.80800000002</v>
          </cell>
        </row>
        <row r="22">
          <cell r="W22">
            <v>128189</v>
          </cell>
          <cell r="AK22">
            <v>160240.13600000003</v>
          </cell>
        </row>
        <row r="23">
          <cell r="W23">
            <v>253339</v>
          </cell>
          <cell r="AK23">
            <v>248912.30599999995</v>
          </cell>
        </row>
        <row r="24">
          <cell r="W24">
            <v>241134</v>
          </cell>
          <cell r="AK24">
            <v>250088.22999999998</v>
          </cell>
        </row>
        <row r="25">
          <cell r="W25">
            <v>218452</v>
          </cell>
          <cell r="AK25">
            <v>243808.38399999999</v>
          </cell>
        </row>
        <row r="26">
          <cell r="W26">
            <v>62220</v>
          </cell>
          <cell r="AK26">
            <v>71907.078000000009</v>
          </cell>
        </row>
        <row r="27">
          <cell r="W27">
            <v>61902</v>
          </cell>
          <cell r="AK27">
            <v>68153.03</v>
          </cell>
        </row>
        <row r="28">
          <cell r="W28">
            <v>277467</v>
          </cell>
          <cell r="AK28">
            <v>312105.20799999998</v>
          </cell>
        </row>
        <row r="29">
          <cell r="W29">
            <v>151198</v>
          </cell>
          <cell r="AK29">
            <v>152237.144</v>
          </cell>
        </row>
        <row r="30">
          <cell r="W30">
            <v>135002</v>
          </cell>
          <cell r="AK30">
            <v>151855.48799999998</v>
          </cell>
        </row>
        <row r="31">
          <cell r="W31">
            <v>139100</v>
          </cell>
          <cell r="AK31">
            <v>153381.712</v>
          </cell>
        </row>
        <row r="32">
          <cell r="W32">
            <v>177517</v>
          </cell>
          <cell r="AK32">
            <v>189656.50400000002</v>
          </cell>
        </row>
        <row r="33">
          <cell r="W33">
            <v>155234</v>
          </cell>
          <cell r="AK33">
            <v>152300.356</v>
          </cell>
        </row>
        <row r="34">
          <cell r="W34">
            <v>84725</v>
          </cell>
          <cell r="AK34">
            <v>90135.188000000009</v>
          </cell>
        </row>
        <row r="35">
          <cell r="W35">
            <v>73670</v>
          </cell>
          <cell r="AK35">
            <v>80693.611999999994</v>
          </cell>
        </row>
        <row r="36">
          <cell r="W36">
            <v>104571</v>
          </cell>
          <cell r="AK36">
            <v>102688.25</v>
          </cell>
        </row>
        <row r="37">
          <cell r="W37">
            <v>118453</v>
          </cell>
          <cell r="AK37">
            <v>134304.51200000002</v>
          </cell>
        </row>
        <row r="38">
          <cell r="W38">
            <v>178005</v>
          </cell>
          <cell r="AK38">
            <v>188102.508</v>
          </cell>
        </row>
        <row r="39">
          <cell r="W39">
            <v>112607</v>
          </cell>
          <cell r="AK39">
            <v>127109.45600000001</v>
          </cell>
        </row>
        <row r="40">
          <cell r="W40">
            <v>213783</v>
          </cell>
          <cell r="AK40">
            <v>232330.54800000001</v>
          </cell>
        </row>
        <row r="41">
          <cell r="W41">
            <v>146673</v>
          </cell>
          <cell r="AK41">
            <v>215318.42799999999</v>
          </cell>
        </row>
        <row r="42">
          <cell r="W42">
            <v>222888</v>
          </cell>
          <cell r="AK42">
            <v>264793.46400000004</v>
          </cell>
        </row>
        <row r="43">
          <cell r="W43">
            <v>125388</v>
          </cell>
          <cell r="AK43">
            <v>132396.63200000001</v>
          </cell>
        </row>
        <row r="44">
          <cell r="W44">
            <v>126102</v>
          </cell>
          <cell r="AK44">
            <v>162507.5</v>
          </cell>
        </row>
        <row r="45">
          <cell r="W45">
            <v>309272</v>
          </cell>
          <cell r="AK45">
            <v>338225.46600000001</v>
          </cell>
        </row>
        <row r="46">
          <cell r="W46">
            <v>157853</v>
          </cell>
          <cell r="AK46">
            <v>177975.84599999999</v>
          </cell>
        </row>
        <row r="47">
          <cell r="W47">
            <v>130791</v>
          </cell>
          <cell r="AK47">
            <v>169406.66400000002</v>
          </cell>
        </row>
        <row r="48">
          <cell r="W48">
            <v>217758</v>
          </cell>
          <cell r="AK48">
            <v>256256.13799999998</v>
          </cell>
        </row>
        <row r="49">
          <cell r="W49">
            <v>200103</v>
          </cell>
          <cell r="AK49">
            <v>230868.23599999998</v>
          </cell>
        </row>
        <row r="50">
          <cell r="W50">
            <v>211870</v>
          </cell>
          <cell r="AK50">
            <v>238755.40400000001</v>
          </cell>
        </row>
        <row r="51">
          <cell r="W51">
            <v>160509</v>
          </cell>
          <cell r="AK51">
            <v>179487.5</v>
          </cell>
        </row>
        <row r="52">
          <cell r="W52">
            <v>291064</v>
          </cell>
          <cell r="AK52">
            <v>327510.47400000005</v>
          </cell>
        </row>
        <row r="53">
          <cell r="W53">
            <v>69052</v>
          </cell>
          <cell r="AK53">
            <v>74730.475999999995</v>
          </cell>
        </row>
        <row r="54">
          <cell r="W54">
            <v>153021</v>
          </cell>
          <cell r="AK54">
            <v>184287.04800000001</v>
          </cell>
        </row>
        <row r="55">
          <cell r="W55">
            <v>235473</v>
          </cell>
          <cell r="AK55">
            <v>275025.74800000002</v>
          </cell>
        </row>
        <row r="56">
          <cell r="W56">
            <v>284934</v>
          </cell>
          <cell r="AK56">
            <v>325193.83399999997</v>
          </cell>
        </row>
        <row r="57">
          <cell r="W57">
            <v>141147</v>
          </cell>
          <cell r="AK57">
            <v>155051.72999999998</v>
          </cell>
        </row>
        <row r="58">
          <cell r="W58">
            <v>168021</v>
          </cell>
          <cell r="AK58">
            <v>195733.52799999999</v>
          </cell>
        </row>
        <row r="59">
          <cell r="W59">
            <v>148024</v>
          </cell>
          <cell r="AK59">
            <v>158426.67799999999</v>
          </cell>
        </row>
        <row r="60">
          <cell r="W60">
            <v>290771</v>
          </cell>
          <cell r="AK60">
            <v>313551.52400000003</v>
          </cell>
        </row>
        <row r="61">
          <cell r="W61">
            <v>201972</v>
          </cell>
          <cell r="AK61">
            <v>193825.64799999999</v>
          </cell>
        </row>
        <row r="62">
          <cell r="W62">
            <v>203381</v>
          </cell>
          <cell r="AK62">
            <v>184875.01</v>
          </cell>
        </row>
        <row r="63">
          <cell r="W63">
            <v>156931</v>
          </cell>
          <cell r="AK63">
            <v>150330.46400000001</v>
          </cell>
        </row>
        <row r="64">
          <cell r="W64">
            <v>185087</v>
          </cell>
          <cell r="AK64">
            <v>180090.03200000004</v>
          </cell>
        </row>
        <row r="65">
          <cell r="W65">
            <v>230048</v>
          </cell>
          <cell r="AK65">
            <v>246097.52000000002</v>
          </cell>
        </row>
        <row r="66">
          <cell r="W66">
            <v>212340</v>
          </cell>
          <cell r="AK66">
            <v>238848.25599999999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ed Amounts"/>
    </sheetNames>
    <sheetDataSet>
      <sheetData sheetId="0">
        <row r="149">
          <cell r="Q149">
            <v>-73370.5</v>
          </cell>
        </row>
        <row r="162">
          <cell r="Q162">
            <v>0</v>
          </cell>
        </row>
        <row r="163">
          <cell r="Q163">
            <v>0</v>
          </cell>
        </row>
        <row r="164">
          <cell r="Q164">
            <v>-12602</v>
          </cell>
        </row>
        <row r="165">
          <cell r="Q165">
            <v>-10493.5</v>
          </cell>
        </row>
        <row r="166">
          <cell r="Q166">
            <v>0</v>
          </cell>
        </row>
        <row r="167">
          <cell r="Q167">
            <v>0</v>
          </cell>
        </row>
        <row r="168">
          <cell r="Q168">
            <v>-113292</v>
          </cell>
        </row>
        <row r="169">
          <cell r="Q169">
            <v>-27298.5</v>
          </cell>
        </row>
        <row r="171">
          <cell r="Q171">
            <v>-2789.5</v>
          </cell>
        </row>
        <row r="172">
          <cell r="Q172">
            <v>0</v>
          </cell>
        </row>
        <row r="174">
          <cell r="Q174">
            <v>6304.5</v>
          </cell>
        </row>
        <row r="175">
          <cell r="Q175">
            <v>2101.5</v>
          </cell>
        </row>
        <row r="176">
          <cell r="Q176">
            <v>0</v>
          </cell>
        </row>
        <row r="177">
          <cell r="Q177">
            <v>2115.5</v>
          </cell>
        </row>
        <row r="178">
          <cell r="Q178">
            <v>-6304.5</v>
          </cell>
        </row>
        <row r="180">
          <cell r="Q180">
            <v>0</v>
          </cell>
        </row>
        <row r="186">
          <cell r="Q186">
            <v>-8399</v>
          </cell>
        </row>
        <row r="190">
          <cell r="Q190">
            <v>-10493.5</v>
          </cell>
        </row>
        <row r="191">
          <cell r="Q191">
            <v>0</v>
          </cell>
        </row>
        <row r="193">
          <cell r="Q193">
            <v>4203</v>
          </cell>
        </row>
        <row r="194">
          <cell r="Q194">
            <v>0</v>
          </cell>
        </row>
        <row r="195">
          <cell r="Q195">
            <v>0</v>
          </cell>
        </row>
        <row r="197">
          <cell r="Q197">
            <v>4203</v>
          </cell>
        </row>
        <row r="198">
          <cell r="Q198">
            <v>2101.5</v>
          </cell>
        </row>
        <row r="199">
          <cell r="Q199">
            <v>2101.5</v>
          </cell>
        </row>
        <row r="200">
          <cell r="Q200">
            <v>0</v>
          </cell>
        </row>
        <row r="201">
          <cell r="Q201">
            <v>-6297.5</v>
          </cell>
        </row>
        <row r="202">
          <cell r="Q202">
            <v>-4189</v>
          </cell>
        </row>
        <row r="203">
          <cell r="Q203">
            <v>-37743</v>
          </cell>
        </row>
        <row r="204">
          <cell r="Q204">
            <v>-20966</v>
          </cell>
        </row>
        <row r="205">
          <cell r="Q205">
            <v>-94427.5</v>
          </cell>
        </row>
        <row r="206">
          <cell r="Q206">
            <v>21</v>
          </cell>
        </row>
        <row r="207">
          <cell r="Q207">
            <v>0</v>
          </cell>
        </row>
        <row r="208">
          <cell r="Q208">
            <v>0</v>
          </cell>
        </row>
        <row r="209">
          <cell r="Q209">
            <v>6304.5</v>
          </cell>
        </row>
        <row r="210">
          <cell r="Q210">
            <v>6304.5</v>
          </cell>
        </row>
        <row r="211">
          <cell r="Q211">
            <v>0</v>
          </cell>
        </row>
        <row r="212">
          <cell r="Q212">
            <v>10507.5</v>
          </cell>
        </row>
        <row r="213">
          <cell r="Q213">
            <v>4203</v>
          </cell>
        </row>
        <row r="214">
          <cell r="Q214">
            <v>0</v>
          </cell>
        </row>
        <row r="215">
          <cell r="Q215">
            <v>-2101.5</v>
          </cell>
        </row>
        <row r="216">
          <cell r="Q216">
            <v>14</v>
          </cell>
        </row>
        <row r="217">
          <cell r="Q217">
            <v>0</v>
          </cell>
        </row>
        <row r="218">
          <cell r="Q218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able 5B1_RSD_Orleans"/>
    </sheetNames>
    <sheetDataSet>
      <sheetData sheetId="0" refreshError="1"/>
      <sheetData sheetId="1">
        <row r="7">
          <cell r="Y7">
            <v>1103544.7112499999</v>
          </cell>
        </row>
        <row r="10">
          <cell r="Y10">
            <v>151855.57333333333</v>
          </cell>
        </row>
        <row r="11">
          <cell r="Y11">
            <v>173985.28</v>
          </cell>
        </row>
        <row r="12">
          <cell r="Y12">
            <v>250007.54</v>
          </cell>
        </row>
        <row r="13">
          <cell r="Y13">
            <v>156322.76833333334</v>
          </cell>
        </row>
        <row r="14">
          <cell r="Y14">
            <v>69318.34</v>
          </cell>
        </row>
        <row r="15">
          <cell r="Y15">
            <v>72428.778333333335</v>
          </cell>
        </row>
        <row r="16">
          <cell r="Y16">
            <v>134402.09333333335</v>
          </cell>
        </row>
        <row r="17">
          <cell r="Y17">
            <v>199944.85833333331</v>
          </cell>
        </row>
        <row r="18">
          <cell r="Y18">
            <v>175511.46666666667</v>
          </cell>
        </row>
        <row r="19">
          <cell r="Y19">
            <v>199548.90666666665</v>
          </cell>
        </row>
        <row r="20">
          <cell r="Y20">
            <v>53533.69</v>
          </cell>
        </row>
        <row r="21">
          <cell r="Y21">
            <v>149947.84</v>
          </cell>
        </row>
        <row r="22">
          <cell r="Y22">
            <v>116419.26333333332</v>
          </cell>
        </row>
        <row r="23">
          <cell r="Y23">
            <v>248912.255</v>
          </cell>
        </row>
        <row r="24">
          <cell r="Y24">
            <v>250088.19166666665</v>
          </cell>
        </row>
        <row r="25">
          <cell r="Y25">
            <v>243808.31999999998</v>
          </cell>
        </row>
        <row r="26">
          <cell r="Y26">
            <v>71907.065000000002</v>
          </cell>
        </row>
        <row r="27">
          <cell r="Y27">
            <v>68153.025000000009</v>
          </cell>
        </row>
        <row r="28">
          <cell r="Y28">
            <v>312105.17333333334</v>
          </cell>
        </row>
        <row r="29">
          <cell r="Y29">
            <v>152237.12</v>
          </cell>
        </row>
        <row r="30">
          <cell r="Y30">
            <v>151855.57333333333</v>
          </cell>
        </row>
        <row r="31">
          <cell r="Y31">
            <v>153381.76000000001</v>
          </cell>
        </row>
        <row r="32">
          <cell r="Y32">
            <v>145369.28</v>
          </cell>
        </row>
        <row r="33">
          <cell r="Y33">
            <v>152300.29666666666</v>
          </cell>
        </row>
        <row r="34">
          <cell r="Y34">
            <v>40062.400000000001</v>
          </cell>
        </row>
        <row r="35">
          <cell r="Y35">
            <v>38154.666666666664</v>
          </cell>
        </row>
        <row r="36">
          <cell r="Y36">
            <v>151744.20833333334</v>
          </cell>
        </row>
        <row r="37">
          <cell r="Y37">
            <v>134304.42666666667</v>
          </cell>
        </row>
        <row r="38">
          <cell r="Y38">
            <v>188102.50666666668</v>
          </cell>
        </row>
        <row r="39">
          <cell r="Y39">
            <v>143461.54666666666</v>
          </cell>
        </row>
        <row r="40">
          <cell r="Y40">
            <v>232330.62333333332</v>
          </cell>
        </row>
        <row r="41">
          <cell r="Y41">
            <v>264831.60666666663</v>
          </cell>
        </row>
        <row r="42">
          <cell r="Y42">
            <v>264793.38666666666</v>
          </cell>
        </row>
        <row r="43">
          <cell r="Y43">
            <v>132396.69333333333</v>
          </cell>
        </row>
        <row r="44">
          <cell r="Y44">
            <v>162507.58333333334</v>
          </cell>
        </row>
        <row r="45">
          <cell r="Y45">
            <v>338225.47166666668</v>
          </cell>
        </row>
        <row r="46">
          <cell r="Y46">
            <v>177975.87166666667</v>
          </cell>
        </row>
        <row r="47">
          <cell r="Y47">
            <v>169406.72</v>
          </cell>
        </row>
        <row r="48">
          <cell r="Y48">
            <v>256256.11499999999</v>
          </cell>
        </row>
        <row r="49">
          <cell r="Y49">
            <v>230868.19666666666</v>
          </cell>
        </row>
        <row r="50">
          <cell r="Y50">
            <v>238755.33666666667</v>
          </cell>
        </row>
        <row r="51">
          <cell r="Y51">
            <v>179487.5</v>
          </cell>
        </row>
        <row r="52">
          <cell r="Y52">
            <v>327510.5616666667</v>
          </cell>
        </row>
        <row r="53">
          <cell r="Y53">
            <v>99585.43</v>
          </cell>
        </row>
        <row r="54">
          <cell r="Y54">
            <v>184287.04</v>
          </cell>
        </row>
        <row r="55">
          <cell r="Y55">
            <v>230072.64</v>
          </cell>
        </row>
        <row r="56">
          <cell r="Y56">
            <v>291645.48166666663</v>
          </cell>
        </row>
        <row r="57">
          <cell r="Y57">
            <v>155051.77499999999</v>
          </cell>
        </row>
        <row r="58">
          <cell r="Y58">
            <v>195733.43999999997</v>
          </cell>
        </row>
        <row r="59">
          <cell r="Y59">
            <v>131746.13166666668</v>
          </cell>
        </row>
        <row r="60">
          <cell r="Y60">
            <v>196465.23666666666</v>
          </cell>
        </row>
        <row r="61">
          <cell r="Y61">
            <v>193825.70666666667</v>
          </cell>
        </row>
        <row r="62">
          <cell r="Y62">
            <v>184875.00833333333</v>
          </cell>
        </row>
        <row r="63">
          <cell r="Y63">
            <v>150330.55333333332</v>
          </cell>
        </row>
        <row r="64">
          <cell r="Y64">
            <v>180090.02666666664</v>
          </cell>
        </row>
        <row r="65">
          <cell r="Y65">
            <v>246097.6</v>
          </cell>
        </row>
        <row r="66">
          <cell r="Y66">
            <v>238848.21333333335</v>
          </cell>
        </row>
        <row r="70">
          <cell r="T70">
            <v>313125.00500000006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D-NO by Site"/>
    </sheetNames>
    <sheetDataSet>
      <sheetData sheetId="0">
        <row r="5">
          <cell r="D5">
            <v>398</v>
          </cell>
        </row>
        <row r="6">
          <cell r="D6">
            <v>456</v>
          </cell>
        </row>
        <row r="7">
          <cell r="D7">
            <v>658</v>
          </cell>
        </row>
        <row r="8">
          <cell r="D8">
            <v>412</v>
          </cell>
        </row>
        <row r="9">
          <cell r="D9">
            <v>156</v>
          </cell>
        </row>
        <row r="10">
          <cell r="D10">
            <v>163</v>
          </cell>
        </row>
        <row r="11">
          <cell r="D11">
            <v>377</v>
          </cell>
        </row>
        <row r="12">
          <cell r="D12">
            <v>530</v>
          </cell>
        </row>
        <row r="13">
          <cell r="D13">
            <v>523</v>
          </cell>
        </row>
        <row r="14">
          <cell r="D14">
            <v>121</v>
          </cell>
        </row>
        <row r="15">
          <cell r="D15">
            <v>393</v>
          </cell>
        </row>
        <row r="16">
          <cell r="D16">
            <v>262</v>
          </cell>
        </row>
        <row r="17">
          <cell r="D17">
            <v>636</v>
          </cell>
        </row>
        <row r="18">
          <cell r="D18">
            <v>655</v>
          </cell>
        </row>
        <row r="19">
          <cell r="D19">
            <v>639</v>
          </cell>
        </row>
        <row r="20">
          <cell r="D20">
            <v>188</v>
          </cell>
        </row>
        <row r="21">
          <cell r="D21">
            <v>180</v>
          </cell>
        </row>
        <row r="23">
          <cell r="D23">
            <v>399</v>
          </cell>
        </row>
        <row r="24">
          <cell r="D24">
            <v>402</v>
          </cell>
        </row>
        <row r="29">
          <cell r="D29">
            <v>381</v>
          </cell>
        </row>
        <row r="30">
          <cell r="D30">
            <v>401</v>
          </cell>
        </row>
        <row r="31">
          <cell r="D31">
            <v>105</v>
          </cell>
        </row>
        <row r="32">
          <cell r="D32">
            <v>100</v>
          </cell>
        </row>
        <row r="33">
          <cell r="D33">
            <v>400</v>
          </cell>
        </row>
        <row r="34">
          <cell r="D34">
            <v>352</v>
          </cell>
        </row>
        <row r="35">
          <cell r="D35">
            <v>493</v>
          </cell>
        </row>
        <row r="36">
          <cell r="D36">
            <v>608</v>
          </cell>
        </row>
        <row r="37">
          <cell r="D37">
            <v>596</v>
          </cell>
        </row>
        <row r="38">
          <cell r="D38">
            <v>694</v>
          </cell>
        </row>
        <row r="39">
          <cell r="D39">
            <v>347</v>
          </cell>
        </row>
        <row r="40">
          <cell r="D40">
            <v>425</v>
          </cell>
        </row>
        <row r="41">
          <cell r="D41">
            <v>886</v>
          </cell>
        </row>
        <row r="42">
          <cell r="D42">
            <v>466</v>
          </cell>
        </row>
        <row r="43">
          <cell r="D43">
            <v>444</v>
          </cell>
        </row>
        <row r="44">
          <cell r="D44">
            <v>673</v>
          </cell>
        </row>
        <row r="45">
          <cell r="D45">
            <v>606</v>
          </cell>
        </row>
        <row r="46">
          <cell r="D46">
            <v>634</v>
          </cell>
        </row>
        <row r="47">
          <cell r="D47">
            <v>475</v>
          </cell>
        </row>
        <row r="48">
          <cell r="D48">
            <v>879</v>
          </cell>
        </row>
        <row r="49">
          <cell r="D49">
            <v>261</v>
          </cell>
        </row>
        <row r="50">
          <cell r="D50">
            <v>483</v>
          </cell>
        </row>
        <row r="51">
          <cell r="D51">
            <v>603</v>
          </cell>
        </row>
        <row r="52">
          <cell r="D52">
            <v>763</v>
          </cell>
        </row>
        <row r="53">
          <cell r="D53">
            <v>405</v>
          </cell>
        </row>
        <row r="55">
          <cell r="D55">
            <v>343</v>
          </cell>
        </row>
        <row r="56">
          <cell r="D56">
            <v>514</v>
          </cell>
        </row>
        <row r="57">
          <cell r="D57">
            <v>508</v>
          </cell>
        </row>
        <row r="58">
          <cell r="D58">
            <v>485</v>
          </cell>
        </row>
        <row r="59">
          <cell r="D59">
            <v>394</v>
          </cell>
        </row>
        <row r="60">
          <cell r="D60">
            <v>472</v>
          </cell>
        </row>
        <row r="61">
          <cell r="D61">
            <v>645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PP by Site &amp; Grade"/>
    </sheetNames>
    <sheetDataSet>
      <sheetData sheetId="0">
        <row r="7">
          <cell r="R7">
            <v>513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Table 1 State Summary "/>
      <sheetName val="Table 2_State Distrib and Adjs"/>
      <sheetName val="Table 2A-1_EFT (Annual)"/>
      <sheetName val="Table 2A-2 EFT (Monthly)"/>
      <sheetName val="Table 3 Levels 1&amp;2"/>
      <sheetName val="Table 4 Level 3"/>
      <sheetName val="Table 4A Stipends"/>
      <sheetName val="Table 5A Labs, NOCCA,LSMSA"/>
      <sheetName val="Table 5B1_RSD_Orleans"/>
      <sheetName val="Table 5B2_RSD_LA"/>
      <sheetName val="Table 5C1A-Madison Prep"/>
      <sheetName val="Table 5C1B-DArbonne"/>
      <sheetName val="Table 5C1C-Intl_VIBE"/>
      <sheetName val="Table 5C1D-NOMMA"/>
      <sheetName val="Table 5C1E-LFNO"/>
      <sheetName val="Table 5C1F-Lake Charles Charter"/>
      <sheetName val="Table 5C1G-JS Clark Academy"/>
      <sheetName val="Table 5C1H-Southwest LA Charter"/>
      <sheetName val="Table 5C1I-LA Key Academy"/>
      <sheetName val="Table 5C1J-Jefferson Chamber"/>
      <sheetName val="Table 5C1K-Tallulah Charter"/>
      <sheetName val="Table 5C1L-Northshore Charter"/>
      <sheetName val="Table 5C1M-B.R. Charter"/>
      <sheetName val="Table 5C1N-Delta Charter"/>
      <sheetName val="Table 5C2 - LA Virtual Admy"/>
      <sheetName val="Table 5C3 - LA Connections EBR"/>
      <sheetName val="Table 5D- Legacy Type 2"/>
      <sheetName val="Table 5E_OJJ"/>
      <sheetName val="Table 6 (Local Deduct Calc.)"/>
      <sheetName val="Table 7 Local Revenue"/>
      <sheetName val="2-1-13 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7">
          <cell r="C7">
            <v>9557</v>
          </cell>
          <cell r="R7">
            <v>-3</v>
          </cell>
        </row>
        <row r="8">
          <cell r="C8">
            <v>4077</v>
          </cell>
          <cell r="R8">
            <v>0</v>
          </cell>
        </row>
        <row r="9">
          <cell r="C9">
            <v>20588</v>
          </cell>
          <cell r="R9">
            <v>-63</v>
          </cell>
        </row>
        <row r="10">
          <cell r="C10">
            <v>3555</v>
          </cell>
          <cell r="R10">
            <v>-10</v>
          </cell>
        </row>
        <row r="11">
          <cell r="C11">
            <v>5723</v>
          </cell>
          <cell r="R11">
            <v>0</v>
          </cell>
        </row>
        <row r="12">
          <cell r="C12">
            <v>6018</v>
          </cell>
          <cell r="R12">
            <v>0</v>
          </cell>
        </row>
        <row r="13">
          <cell r="C13">
            <v>2198</v>
          </cell>
          <cell r="R13">
            <v>-7</v>
          </cell>
        </row>
        <row r="14">
          <cell r="C14">
            <v>21112</v>
          </cell>
          <cell r="R14">
            <v>-2</v>
          </cell>
        </row>
        <row r="15">
          <cell r="C15">
            <v>40150</v>
          </cell>
          <cell r="R15">
            <v>-81</v>
          </cell>
        </row>
        <row r="16">
          <cell r="C16">
            <v>30680</v>
          </cell>
          <cell r="R16">
            <v>-22</v>
          </cell>
        </row>
        <row r="17">
          <cell r="C17">
            <v>1555</v>
          </cell>
          <cell r="R17">
            <v>-12</v>
          </cell>
        </row>
        <row r="18">
          <cell r="C18">
            <v>1212</v>
          </cell>
          <cell r="R18">
            <v>0</v>
          </cell>
        </row>
        <row r="19">
          <cell r="C19">
            <v>1503</v>
          </cell>
          <cell r="R19">
            <v>0</v>
          </cell>
        </row>
        <row r="20">
          <cell r="C20">
            <v>1856</v>
          </cell>
          <cell r="R20">
            <v>0</v>
          </cell>
        </row>
        <row r="21">
          <cell r="C21">
            <v>3620</v>
          </cell>
          <cell r="R21">
            <v>0</v>
          </cell>
        </row>
        <row r="22">
          <cell r="C22">
            <v>4937</v>
          </cell>
          <cell r="R22">
            <v>0</v>
          </cell>
        </row>
        <row r="23">
          <cell r="C23">
            <v>41055</v>
          </cell>
          <cell r="R23">
            <v>-628</v>
          </cell>
        </row>
        <row r="24">
          <cell r="C24">
            <v>1113</v>
          </cell>
          <cell r="R24">
            <v>0</v>
          </cell>
        </row>
        <row r="25">
          <cell r="C25">
            <v>1907</v>
          </cell>
          <cell r="R25">
            <v>0</v>
          </cell>
        </row>
        <row r="26">
          <cell r="C26">
            <v>5883</v>
          </cell>
          <cell r="R26">
            <v>0</v>
          </cell>
        </row>
        <row r="27">
          <cell r="C27">
            <v>2993</v>
          </cell>
          <cell r="R27">
            <v>-39</v>
          </cell>
        </row>
        <row r="28">
          <cell r="C28">
            <v>3204</v>
          </cell>
          <cell r="R28">
            <v>-1</v>
          </cell>
        </row>
        <row r="29">
          <cell r="C29">
            <v>13399</v>
          </cell>
          <cell r="R29">
            <v>-1</v>
          </cell>
        </row>
        <row r="30">
          <cell r="C30">
            <v>4529</v>
          </cell>
          <cell r="R30">
            <v>-28</v>
          </cell>
        </row>
        <row r="31">
          <cell r="C31">
            <v>2225</v>
          </cell>
          <cell r="R31">
            <v>-7</v>
          </cell>
        </row>
        <row r="32">
          <cell r="C32">
            <v>44001</v>
          </cell>
          <cell r="R32">
            <v>-406</v>
          </cell>
        </row>
        <row r="33">
          <cell r="C33">
            <v>5596</v>
          </cell>
          <cell r="R33">
            <v>0</v>
          </cell>
        </row>
        <row r="34">
          <cell r="C34">
            <v>30061</v>
          </cell>
          <cell r="R34">
            <v>-136</v>
          </cell>
        </row>
        <row r="35">
          <cell r="C35">
            <v>13699</v>
          </cell>
          <cell r="R35">
            <v>-40</v>
          </cell>
        </row>
        <row r="36">
          <cell r="C36">
            <v>2470</v>
          </cell>
          <cell r="R36">
            <v>0</v>
          </cell>
        </row>
        <row r="37">
          <cell r="C37">
            <v>6466</v>
          </cell>
          <cell r="R37">
            <v>-75</v>
          </cell>
        </row>
        <row r="38">
          <cell r="C38">
            <v>24708</v>
          </cell>
          <cell r="R38">
            <v>-1</v>
          </cell>
        </row>
        <row r="39">
          <cell r="C39">
            <v>1786</v>
          </cell>
          <cell r="R39">
            <v>0</v>
          </cell>
        </row>
        <row r="40">
          <cell r="C40">
            <v>4254</v>
          </cell>
          <cell r="R40">
            <v>-4</v>
          </cell>
        </row>
        <row r="41">
          <cell r="C41">
            <v>6459</v>
          </cell>
          <cell r="R41">
            <v>-2</v>
          </cell>
        </row>
        <row r="42">
          <cell r="C42">
            <v>13385</v>
          </cell>
          <cell r="R42">
            <v>-2388</v>
          </cell>
        </row>
        <row r="43">
          <cell r="C43">
            <v>19609</v>
          </cell>
          <cell r="R43">
            <v>-44</v>
          </cell>
        </row>
        <row r="44">
          <cell r="C44">
            <v>3792</v>
          </cell>
          <cell r="R44">
            <v>-1</v>
          </cell>
        </row>
        <row r="45">
          <cell r="C45">
            <v>2629</v>
          </cell>
          <cell r="R45">
            <v>-29</v>
          </cell>
        </row>
        <row r="46">
          <cell r="C46">
            <v>22990</v>
          </cell>
          <cell r="R46">
            <v>-74</v>
          </cell>
        </row>
        <row r="47">
          <cell r="C47">
            <v>1409</v>
          </cell>
          <cell r="R47">
            <v>0</v>
          </cell>
        </row>
        <row r="48">
          <cell r="C48">
            <v>3436</v>
          </cell>
          <cell r="R48">
            <v>-6</v>
          </cell>
        </row>
        <row r="49">
          <cell r="C49">
            <v>4011</v>
          </cell>
          <cell r="R49">
            <v>0</v>
          </cell>
        </row>
        <row r="50">
          <cell r="C50">
            <v>6379</v>
          </cell>
          <cell r="R50">
            <v>-19</v>
          </cell>
        </row>
        <row r="51">
          <cell r="C51">
            <v>9474</v>
          </cell>
          <cell r="R51">
            <v>-20</v>
          </cell>
        </row>
        <row r="52">
          <cell r="C52">
            <v>746</v>
          </cell>
          <cell r="R52">
            <v>0</v>
          </cell>
        </row>
        <row r="53">
          <cell r="C53">
            <v>3624</v>
          </cell>
          <cell r="R53">
            <v>-6</v>
          </cell>
        </row>
        <row r="54">
          <cell r="C54">
            <v>5961</v>
          </cell>
          <cell r="R54">
            <v>-206</v>
          </cell>
        </row>
        <row r="55">
          <cell r="C55">
            <v>14311</v>
          </cell>
          <cell r="R55">
            <v>-63</v>
          </cell>
        </row>
        <row r="56">
          <cell r="C56">
            <v>7891</v>
          </cell>
          <cell r="R56">
            <v>-25</v>
          </cell>
        </row>
        <row r="57">
          <cell r="C57">
            <v>8999</v>
          </cell>
          <cell r="R57">
            <v>-4</v>
          </cell>
        </row>
        <row r="58">
          <cell r="C58">
            <v>36940</v>
          </cell>
          <cell r="R58">
            <v>-41</v>
          </cell>
        </row>
        <row r="59">
          <cell r="C59">
            <v>19088</v>
          </cell>
          <cell r="R59">
            <v>-49</v>
          </cell>
        </row>
        <row r="60">
          <cell r="C60">
            <v>677</v>
          </cell>
          <cell r="R60">
            <v>0</v>
          </cell>
        </row>
        <row r="61">
          <cell r="C61">
            <v>17716</v>
          </cell>
          <cell r="R61">
            <v>-20</v>
          </cell>
        </row>
        <row r="62">
          <cell r="C62">
            <v>2329</v>
          </cell>
          <cell r="R62">
            <v>-13</v>
          </cell>
        </row>
        <row r="63">
          <cell r="C63">
            <v>9039</v>
          </cell>
          <cell r="R63">
            <v>-8</v>
          </cell>
        </row>
        <row r="64">
          <cell r="C64">
            <v>9032</v>
          </cell>
          <cell r="R64">
            <v>0</v>
          </cell>
        </row>
        <row r="65">
          <cell r="C65">
            <v>5222</v>
          </cell>
          <cell r="R65">
            <v>-2</v>
          </cell>
        </row>
        <row r="66">
          <cell r="C66">
            <v>6450</v>
          </cell>
          <cell r="R66">
            <v>0</v>
          </cell>
        </row>
        <row r="67">
          <cell r="C67">
            <v>3616</v>
          </cell>
          <cell r="R67">
            <v>-12</v>
          </cell>
        </row>
        <row r="68">
          <cell r="C68">
            <v>2103</v>
          </cell>
          <cell r="R68">
            <v>0</v>
          </cell>
        </row>
        <row r="69">
          <cell r="C69">
            <v>2037</v>
          </cell>
          <cell r="R69">
            <v>0</v>
          </cell>
        </row>
        <row r="70">
          <cell r="C70">
            <v>2391</v>
          </cell>
          <cell r="R70">
            <v>0</v>
          </cell>
        </row>
        <row r="71">
          <cell r="C71">
            <v>8276</v>
          </cell>
          <cell r="R71">
            <v>-37</v>
          </cell>
        </row>
        <row r="72">
          <cell r="C72">
            <v>2029</v>
          </cell>
          <cell r="R72">
            <v>-9</v>
          </cell>
        </row>
        <row r="73">
          <cell r="C73">
            <v>5092</v>
          </cell>
          <cell r="R73">
            <v>0</v>
          </cell>
        </row>
        <row r="74">
          <cell r="C74">
            <v>1731</v>
          </cell>
          <cell r="R74">
            <v>-35</v>
          </cell>
        </row>
        <row r="75">
          <cell r="C75">
            <v>4184</v>
          </cell>
          <cell r="R75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dyear Adjustment Summary"/>
      <sheetName val="October midyear adj"/>
      <sheetName val="Oct midyear Madison Prep"/>
      <sheetName val="Oct midyear DArbonne"/>
      <sheetName val="Oct midyear Intl_VIBE "/>
      <sheetName val="Oct midyear NOMMA"/>
      <sheetName val="Oct midyear LFNO"/>
      <sheetName val="Oct midyear Lake Charles Chtr"/>
      <sheetName val="Oct midyear JS Clark Academy"/>
      <sheetName val="Oct midyear Southwest LA Chtr"/>
      <sheetName val="Oct midyear Key Academy"/>
      <sheetName val="Oct midyear Jefferson Chamber"/>
      <sheetName val="Oct midyear Tallulah Charter"/>
      <sheetName val="Oct midyear Northshore Charter"/>
      <sheetName val="Oct midyear B.R. Charter"/>
      <sheetName val="Oct midyear Delta Charter"/>
      <sheetName val="Oct midyear LA Virtual Admy"/>
      <sheetName val="Oct midyear LA Connections"/>
      <sheetName val="Oct midyear SSD"/>
      <sheetName val="Oct midyear LSDVI"/>
      <sheetName val="February midyear adj "/>
      <sheetName val="Feb midyear Madison Prep"/>
      <sheetName val="Feb midyear DArbonne"/>
      <sheetName val="Feb midyear Intl_VIBE "/>
      <sheetName val="Feb midyear NOMMA"/>
      <sheetName val="Feb midyear LFNO "/>
      <sheetName val="Feb midyear Lake Charles Ch"/>
      <sheetName val="Feb midyear JS Clark Academy"/>
      <sheetName val="Feb midyear Southwest LA Ch "/>
      <sheetName val="Feb midyear LA Virtual Admy"/>
      <sheetName val="Feb midyear LA Connections"/>
      <sheetName val="Feb midyear Key Academy"/>
      <sheetName val="Feb midyear Jefferson Chamber"/>
      <sheetName val="Feb midyear Tallulah Charter"/>
      <sheetName val="Feb midyear Northshore Charter"/>
      <sheetName val="Feb midyear B.R. Charter"/>
      <sheetName val="Feb midyear Delta Charter"/>
      <sheetName val="Feb midyear SSD"/>
      <sheetName val="Feb midyear LSDVI"/>
      <sheetName val="2-1-13 ALL"/>
      <sheetName val="10.1.13 ALL"/>
      <sheetName val="10.1.13 RSD Operated by Site"/>
      <sheetName val="10.1.13 Type 5 Charters by Site"/>
      <sheetName val="2.1.14 ALL"/>
      <sheetName val="2.1.14 RSD Operated by Site"/>
      <sheetName val="2.1.14 Type 5 Charters by Site"/>
      <sheetName val="2012 Final Summary 20131029"/>
    </sheetNames>
    <sheetDataSet>
      <sheetData sheetId="0" refreshError="1"/>
      <sheetData sheetId="1" refreshError="1"/>
      <sheetData sheetId="2">
        <row r="76">
          <cell r="C76">
            <v>213</v>
          </cell>
          <cell r="D76">
            <v>276</v>
          </cell>
          <cell r="K76">
            <v>270733.9201613022</v>
          </cell>
        </row>
      </sheetData>
      <sheetData sheetId="3">
        <row r="77">
          <cell r="C77">
            <v>548</v>
          </cell>
          <cell r="D77">
            <v>723</v>
          </cell>
          <cell r="K77">
            <v>974615.33859372954</v>
          </cell>
        </row>
      </sheetData>
      <sheetData sheetId="4">
        <row r="76">
          <cell r="C76">
            <v>443</v>
          </cell>
          <cell r="D76">
            <v>476</v>
          </cell>
          <cell r="K76">
            <v>134853.62775013369</v>
          </cell>
        </row>
      </sheetData>
      <sheetData sheetId="5">
        <row r="76">
          <cell r="C76">
            <v>224</v>
          </cell>
          <cell r="D76">
            <v>360</v>
          </cell>
          <cell r="K76">
            <v>563009.13395038503</v>
          </cell>
        </row>
      </sheetData>
      <sheetData sheetId="6">
        <row r="76">
          <cell r="C76">
            <v>202</v>
          </cell>
          <cell r="D76">
            <v>305</v>
          </cell>
          <cell r="K76">
            <v>436655.01154996268</v>
          </cell>
        </row>
      </sheetData>
      <sheetData sheetId="7">
        <row r="76">
          <cell r="C76">
            <v>755</v>
          </cell>
          <cell r="D76">
            <v>872</v>
          </cell>
          <cell r="K76">
            <v>568811.65324221156</v>
          </cell>
        </row>
      </sheetData>
      <sheetData sheetId="8">
        <row r="76">
          <cell r="C76">
            <v>168</v>
          </cell>
          <cell r="D76">
            <v>196</v>
          </cell>
          <cell r="K76">
            <v>153065.75901011607</v>
          </cell>
        </row>
      </sheetData>
      <sheetData sheetId="9">
        <row r="76">
          <cell r="C76">
            <v>531</v>
          </cell>
          <cell r="D76">
            <v>679</v>
          </cell>
          <cell r="K76">
            <v>707424.87564237649</v>
          </cell>
        </row>
      </sheetData>
      <sheetData sheetId="10">
        <row r="76">
          <cell r="C76">
            <v>138</v>
          </cell>
          <cell r="D76">
            <v>125</v>
          </cell>
          <cell r="K76">
            <v>-63764.884117443959</v>
          </cell>
        </row>
      </sheetData>
      <sheetData sheetId="11">
        <row r="76">
          <cell r="C76">
            <v>100</v>
          </cell>
          <cell r="D76">
            <v>90</v>
          </cell>
          <cell r="K76">
            <v>-40869.266254878094</v>
          </cell>
        </row>
      </sheetData>
      <sheetData sheetId="12">
        <row r="76">
          <cell r="C76">
            <v>232</v>
          </cell>
          <cell r="D76">
            <v>299</v>
          </cell>
          <cell r="K76">
            <v>400985.24631766969</v>
          </cell>
        </row>
      </sheetData>
      <sheetData sheetId="13">
        <row r="76">
          <cell r="C76">
            <v>230</v>
          </cell>
          <cell r="D76">
            <v>162</v>
          </cell>
          <cell r="K76">
            <v>-467644.20311030356</v>
          </cell>
        </row>
      </sheetData>
      <sheetData sheetId="14">
        <row r="76">
          <cell r="C76">
            <v>614</v>
          </cell>
          <cell r="D76">
            <v>504</v>
          </cell>
          <cell r="K76">
            <v>-469168.24180908361</v>
          </cell>
        </row>
      </sheetData>
      <sheetData sheetId="15">
        <row r="76">
          <cell r="C76">
            <v>330</v>
          </cell>
          <cell r="D76">
            <v>327</v>
          </cell>
          <cell r="K76">
            <v>-15014.510631795034</v>
          </cell>
        </row>
      </sheetData>
      <sheetData sheetId="16">
        <row r="73">
          <cell r="C73">
            <v>1130</v>
          </cell>
          <cell r="D73">
            <v>1795</v>
          </cell>
          <cell r="K73">
            <v>3062637.1850052821</v>
          </cell>
        </row>
      </sheetData>
      <sheetData sheetId="17">
        <row r="73">
          <cell r="C73">
            <v>1200</v>
          </cell>
          <cell r="D73">
            <v>1200</v>
          </cell>
          <cell r="K73">
            <v>-5957.8629076271354</v>
          </cell>
        </row>
      </sheetData>
      <sheetData sheetId="18" refreshError="1"/>
      <sheetData sheetId="19" refreshError="1"/>
      <sheetData sheetId="20">
        <row r="85">
          <cell r="H85">
            <v>9402.2772303106685</v>
          </cell>
        </row>
        <row r="86">
          <cell r="H86">
            <v>8616.0339872793593</v>
          </cell>
        </row>
        <row r="87">
          <cell r="H87">
            <v>8188.4894337711748</v>
          </cell>
        </row>
        <row r="88">
          <cell r="H88">
            <v>8953.4894337711739</v>
          </cell>
        </row>
        <row r="89">
          <cell r="H89">
            <v>7072.8166927080074</v>
          </cell>
        </row>
        <row r="90">
          <cell r="H90">
            <v>8622.4730460987812</v>
          </cell>
        </row>
        <row r="91">
          <cell r="H91">
            <v>14713.754527559055</v>
          </cell>
        </row>
        <row r="92">
          <cell r="H92">
            <v>8953.4894337711739</v>
          </cell>
        </row>
        <row r="93">
          <cell r="H93">
            <v>8778.5586133052639</v>
          </cell>
        </row>
      </sheetData>
      <sheetData sheetId="21">
        <row r="76">
          <cell r="D76">
            <v>275</v>
          </cell>
          <cell r="K76">
            <v>-2057.2721277349242</v>
          </cell>
        </row>
      </sheetData>
      <sheetData sheetId="22">
        <row r="77">
          <cell r="D77">
            <v>705</v>
          </cell>
          <cell r="K77">
            <v>-50249.278707054546</v>
          </cell>
        </row>
      </sheetData>
      <sheetData sheetId="23">
        <row r="76">
          <cell r="D76">
            <v>461</v>
          </cell>
          <cell r="K76">
            <v>-31726.499528363267</v>
          </cell>
        </row>
      </sheetData>
      <sheetData sheetId="24">
        <row r="76">
          <cell r="D76">
            <v>357</v>
          </cell>
          <cell r="K76">
            <v>-3222.0575891702983</v>
          </cell>
        </row>
      </sheetData>
      <sheetData sheetId="25">
        <row r="76">
          <cell r="D76">
            <v>308</v>
          </cell>
          <cell r="K76">
            <v>6331.6787588101888</v>
          </cell>
        </row>
      </sheetData>
      <sheetData sheetId="26">
        <row r="76">
          <cell r="D76">
            <v>865</v>
          </cell>
          <cell r="K76">
            <v>-17015.733216647357</v>
          </cell>
        </row>
      </sheetData>
      <sheetData sheetId="27">
        <row r="76">
          <cell r="D76">
            <v>196</v>
          </cell>
          <cell r="K76">
            <v>-776.78990659246892</v>
          </cell>
        </row>
      </sheetData>
      <sheetData sheetId="28">
        <row r="76">
          <cell r="D76">
            <v>671</v>
          </cell>
          <cell r="K76">
            <v>-19446.552247596977</v>
          </cell>
        </row>
      </sheetData>
      <sheetData sheetId="29">
        <row r="73">
          <cell r="D73">
            <v>1826</v>
          </cell>
          <cell r="K73">
            <v>84638.140062570848</v>
          </cell>
        </row>
      </sheetData>
      <sheetData sheetId="30">
        <row r="73">
          <cell r="D73">
            <v>1200</v>
          </cell>
          <cell r="K73">
            <v>6465.8889394742346</v>
          </cell>
        </row>
      </sheetData>
      <sheetData sheetId="31">
        <row r="76">
          <cell r="D76">
            <v>130</v>
          </cell>
          <cell r="K76">
            <v>11781.909350634702</v>
          </cell>
        </row>
      </sheetData>
      <sheetData sheetId="32">
        <row r="76">
          <cell r="D76">
            <v>95</v>
          </cell>
          <cell r="K76">
            <v>9159.0021480682008</v>
          </cell>
        </row>
      </sheetData>
      <sheetData sheetId="33">
        <row r="76">
          <cell r="D76">
            <v>294</v>
          </cell>
          <cell r="K76">
            <v>-14962.136056629464</v>
          </cell>
        </row>
      </sheetData>
      <sheetData sheetId="34">
        <row r="76">
          <cell r="D76">
            <v>170</v>
          </cell>
          <cell r="K76">
            <v>27855.194535202594</v>
          </cell>
        </row>
      </sheetData>
      <sheetData sheetId="35">
        <row r="76">
          <cell r="D76">
            <v>441</v>
          </cell>
          <cell r="K76">
            <v>-126107.44958427898</v>
          </cell>
        </row>
      </sheetData>
      <sheetData sheetId="36">
        <row r="76">
          <cell r="D76">
            <v>323</v>
          </cell>
          <cell r="K76">
            <v>-11552.560494600446</v>
          </cell>
        </row>
      </sheetData>
      <sheetData sheetId="37" refreshError="1"/>
      <sheetData sheetId="38" refreshError="1"/>
      <sheetData sheetId="39" refreshError="1"/>
      <sheetData sheetId="40">
        <row r="6">
          <cell r="C6">
            <v>9784</v>
          </cell>
        </row>
        <row r="7">
          <cell r="C7">
            <v>4102</v>
          </cell>
        </row>
        <row r="8">
          <cell r="C8">
            <v>20933</v>
          </cell>
        </row>
        <row r="9">
          <cell r="C9">
            <v>3597</v>
          </cell>
        </row>
        <row r="10">
          <cell r="C10">
            <v>5658</v>
          </cell>
        </row>
        <row r="11">
          <cell r="C11">
            <v>5945</v>
          </cell>
        </row>
        <row r="12">
          <cell r="C12">
            <v>2185</v>
          </cell>
        </row>
        <row r="13">
          <cell r="C13">
            <v>21547</v>
          </cell>
        </row>
        <row r="14">
          <cell r="C14">
            <v>39972</v>
          </cell>
        </row>
        <row r="15">
          <cell r="C15">
            <v>30778</v>
          </cell>
        </row>
        <row r="16">
          <cell r="C16">
            <v>1571</v>
          </cell>
        </row>
        <row r="17">
          <cell r="C17">
            <v>1235</v>
          </cell>
        </row>
        <row r="18">
          <cell r="C18">
            <v>1443</v>
          </cell>
        </row>
        <row r="19">
          <cell r="C19">
            <v>1665</v>
          </cell>
        </row>
        <row r="20">
          <cell r="C20">
            <v>3416</v>
          </cell>
        </row>
        <row r="21">
          <cell r="C21">
            <v>4880</v>
          </cell>
        </row>
        <row r="22">
          <cell r="C22">
            <v>40241</v>
          </cell>
        </row>
        <row r="23">
          <cell r="C23">
            <v>1066</v>
          </cell>
        </row>
        <row r="24">
          <cell r="C24">
            <v>1885</v>
          </cell>
        </row>
        <row r="25">
          <cell r="C25">
            <v>5925</v>
          </cell>
        </row>
        <row r="26">
          <cell r="C26">
            <v>2906</v>
          </cell>
        </row>
        <row r="27">
          <cell r="C27">
            <v>3130</v>
          </cell>
        </row>
        <row r="28">
          <cell r="C28">
            <v>13615</v>
          </cell>
        </row>
        <row r="29">
          <cell r="C29">
            <v>4571</v>
          </cell>
        </row>
        <row r="30">
          <cell r="C30">
            <v>2276</v>
          </cell>
        </row>
        <row r="31">
          <cell r="C31">
            <v>44610</v>
          </cell>
        </row>
        <row r="32">
          <cell r="C32">
            <v>5630</v>
          </cell>
        </row>
        <row r="33">
          <cell r="C33">
            <v>30216</v>
          </cell>
        </row>
        <row r="34">
          <cell r="C34">
            <v>13923</v>
          </cell>
        </row>
        <row r="35">
          <cell r="C35">
            <v>2503</v>
          </cell>
        </row>
        <row r="36">
          <cell r="C36">
            <v>6387</v>
          </cell>
        </row>
        <row r="37">
          <cell r="C37">
            <v>25191</v>
          </cell>
        </row>
        <row r="38">
          <cell r="C38">
            <v>1428</v>
          </cell>
        </row>
        <row r="39">
          <cell r="C39">
            <v>4410</v>
          </cell>
        </row>
        <row r="40">
          <cell r="C40">
            <v>6451</v>
          </cell>
        </row>
        <row r="41">
          <cell r="C41">
            <v>12139</v>
          </cell>
        </row>
        <row r="42">
          <cell r="C42">
            <v>19511</v>
          </cell>
        </row>
        <row r="43">
          <cell r="C43">
            <v>3866</v>
          </cell>
        </row>
        <row r="44">
          <cell r="C44">
            <v>2605</v>
          </cell>
        </row>
        <row r="45">
          <cell r="C45">
            <v>23139</v>
          </cell>
        </row>
        <row r="46">
          <cell r="C46">
            <v>1451</v>
          </cell>
        </row>
        <row r="47">
          <cell r="C47">
            <v>3276</v>
          </cell>
        </row>
        <row r="48">
          <cell r="C48">
            <v>4092</v>
          </cell>
        </row>
        <row r="49">
          <cell r="C49">
            <v>6709</v>
          </cell>
        </row>
        <row r="50">
          <cell r="C50">
            <v>9406</v>
          </cell>
        </row>
        <row r="51">
          <cell r="C51">
            <v>730</v>
          </cell>
        </row>
        <row r="52">
          <cell r="C52">
            <v>3625</v>
          </cell>
        </row>
        <row r="53">
          <cell r="C53">
            <v>5706</v>
          </cell>
        </row>
        <row r="54">
          <cell r="C54">
            <v>14368</v>
          </cell>
        </row>
        <row r="55">
          <cell r="C55">
            <v>7931</v>
          </cell>
        </row>
        <row r="56">
          <cell r="C56">
            <v>9051</v>
          </cell>
        </row>
        <row r="57">
          <cell r="C57">
            <v>37127</v>
          </cell>
        </row>
        <row r="58">
          <cell r="C58">
            <v>19393</v>
          </cell>
        </row>
        <row r="59">
          <cell r="C59">
            <v>659</v>
          </cell>
        </row>
        <row r="60">
          <cell r="C60">
            <v>17825</v>
          </cell>
        </row>
        <row r="61">
          <cell r="C61">
            <v>2212</v>
          </cell>
        </row>
        <row r="62">
          <cell r="C62">
            <v>9176</v>
          </cell>
        </row>
        <row r="63">
          <cell r="C63">
            <v>9071</v>
          </cell>
        </row>
        <row r="64">
          <cell r="C64">
            <v>5131</v>
          </cell>
        </row>
        <row r="65">
          <cell r="C65">
            <v>6461</v>
          </cell>
        </row>
        <row r="66">
          <cell r="C66">
            <v>3618</v>
          </cell>
        </row>
        <row r="67">
          <cell r="C67">
            <v>2108</v>
          </cell>
        </row>
        <row r="68">
          <cell r="C68">
            <v>2043</v>
          </cell>
        </row>
        <row r="69">
          <cell r="C69">
            <v>2394</v>
          </cell>
        </row>
        <row r="70">
          <cell r="C70">
            <v>8118</v>
          </cell>
        </row>
        <row r="71">
          <cell r="C71">
            <v>1855</v>
          </cell>
        </row>
        <row r="72">
          <cell r="C72">
            <v>5302</v>
          </cell>
        </row>
        <row r="73">
          <cell r="C73">
            <v>1611</v>
          </cell>
        </row>
        <row r="74">
          <cell r="C74">
            <v>4292</v>
          </cell>
        </row>
        <row r="77">
          <cell r="G77">
            <v>335</v>
          </cell>
          <cell r="H77">
            <v>367</v>
          </cell>
          <cell r="I77">
            <v>826</v>
          </cell>
          <cell r="J77">
            <v>722</v>
          </cell>
          <cell r="K77">
            <v>924</v>
          </cell>
          <cell r="L77">
            <v>946</v>
          </cell>
          <cell r="M77">
            <v>336</v>
          </cell>
          <cell r="N77">
            <v>116</v>
          </cell>
          <cell r="AE77">
            <v>1398</v>
          </cell>
          <cell r="AF77">
            <v>533</v>
          </cell>
          <cell r="AG77">
            <v>298</v>
          </cell>
          <cell r="AH77">
            <v>177</v>
          </cell>
        </row>
      </sheetData>
      <sheetData sheetId="41">
        <row r="5">
          <cell r="C5">
            <v>366</v>
          </cell>
        </row>
        <row r="6">
          <cell r="C6">
            <v>43</v>
          </cell>
        </row>
        <row r="7">
          <cell r="C7">
            <v>153</v>
          </cell>
        </row>
        <row r="8">
          <cell r="C8">
            <v>168</v>
          </cell>
        </row>
        <row r="9">
          <cell r="C9">
            <v>94</v>
          </cell>
        </row>
        <row r="10">
          <cell r="C10">
            <v>37</v>
          </cell>
        </row>
        <row r="11">
          <cell r="C11">
            <v>292</v>
          </cell>
        </row>
        <row r="12">
          <cell r="C12">
            <v>141</v>
          </cell>
        </row>
        <row r="13">
          <cell r="C13">
            <v>234</v>
          </cell>
        </row>
        <row r="14">
          <cell r="C14">
            <v>257</v>
          </cell>
        </row>
        <row r="15">
          <cell r="C15">
            <v>188</v>
          </cell>
        </row>
        <row r="16">
          <cell r="C16">
            <v>133</v>
          </cell>
        </row>
        <row r="17">
          <cell r="C17">
            <v>185</v>
          </cell>
        </row>
        <row r="18">
          <cell r="C18">
            <v>322</v>
          </cell>
        </row>
        <row r="19">
          <cell r="C19">
            <v>372</v>
          </cell>
        </row>
        <row r="20">
          <cell r="C20">
            <v>157</v>
          </cell>
        </row>
        <row r="21">
          <cell r="C21">
            <v>102</v>
          </cell>
        </row>
      </sheetData>
      <sheetData sheetId="42">
        <row r="5">
          <cell r="D5">
            <v>372</v>
          </cell>
        </row>
        <row r="6">
          <cell r="D6">
            <v>489</v>
          </cell>
        </row>
        <row r="7">
          <cell r="D7">
            <v>666</v>
          </cell>
        </row>
        <row r="8">
          <cell r="D8">
            <v>432</v>
          </cell>
        </row>
        <row r="9">
          <cell r="D9">
            <v>159</v>
          </cell>
        </row>
        <row r="10">
          <cell r="D10">
            <v>227</v>
          </cell>
        </row>
        <row r="11">
          <cell r="D11">
            <v>311</v>
          </cell>
        </row>
        <row r="12">
          <cell r="D12">
            <v>531</v>
          </cell>
        </row>
        <row r="13">
          <cell r="D13">
            <v>338</v>
          </cell>
        </row>
        <row r="14">
          <cell r="D14">
            <v>541</v>
          </cell>
        </row>
        <row r="15">
          <cell r="D15">
            <v>162</v>
          </cell>
        </row>
        <row r="16">
          <cell r="D16">
            <v>355</v>
          </cell>
        </row>
        <row r="17">
          <cell r="D17">
            <v>362</v>
          </cell>
        </row>
        <row r="18">
          <cell r="D18">
            <v>601</v>
          </cell>
        </row>
        <row r="19">
          <cell r="D19">
            <v>691</v>
          </cell>
        </row>
        <row r="20">
          <cell r="D20">
            <v>704</v>
          </cell>
        </row>
        <row r="21">
          <cell r="D21">
            <v>171</v>
          </cell>
        </row>
        <row r="22">
          <cell r="D22">
            <v>159</v>
          </cell>
        </row>
        <row r="23">
          <cell r="D23">
            <v>778</v>
          </cell>
        </row>
        <row r="24">
          <cell r="D24">
            <v>8</v>
          </cell>
        </row>
        <row r="25">
          <cell r="D25">
            <v>527</v>
          </cell>
        </row>
        <row r="26">
          <cell r="D26">
            <v>446</v>
          </cell>
        </row>
        <row r="27">
          <cell r="D27">
            <v>379</v>
          </cell>
        </row>
        <row r="28">
          <cell r="D28">
            <v>457</v>
          </cell>
        </row>
        <row r="29">
          <cell r="D29">
            <v>472</v>
          </cell>
        </row>
        <row r="30">
          <cell r="D30">
            <v>442</v>
          </cell>
        </row>
        <row r="31">
          <cell r="D31">
            <v>214</v>
          </cell>
        </row>
        <row r="32">
          <cell r="D32">
            <v>197</v>
          </cell>
        </row>
        <row r="33">
          <cell r="D33">
            <v>325</v>
          </cell>
        </row>
        <row r="34">
          <cell r="D34">
            <v>320</v>
          </cell>
        </row>
        <row r="35">
          <cell r="D35">
            <v>518</v>
          </cell>
        </row>
        <row r="36">
          <cell r="D36">
            <v>276</v>
          </cell>
        </row>
        <row r="37">
          <cell r="D37">
            <v>596</v>
          </cell>
        </row>
        <row r="38">
          <cell r="D38">
            <v>566</v>
          </cell>
        </row>
        <row r="39">
          <cell r="D39">
            <v>531</v>
          </cell>
        </row>
        <row r="40">
          <cell r="D40">
            <v>723</v>
          </cell>
        </row>
        <row r="41">
          <cell r="D41">
            <v>369</v>
          </cell>
        </row>
        <row r="42">
          <cell r="D42">
            <v>447</v>
          </cell>
        </row>
        <row r="43">
          <cell r="D43">
            <v>882</v>
          </cell>
        </row>
        <row r="44">
          <cell r="D44">
            <v>472</v>
          </cell>
        </row>
        <row r="45">
          <cell r="D45">
            <v>442</v>
          </cell>
        </row>
        <row r="46">
          <cell r="D46">
            <v>679</v>
          </cell>
        </row>
        <row r="47">
          <cell r="D47">
            <v>765</v>
          </cell>
        </row>
        <row r="48">
          <cell r="D48">
            <v>612</v>
          </cell>
        </row>
        <row r="49">
          <cell r="D49">
            <v>544</v>
          </cell>
        </row>
        <row r="50">
          <cell r="D50">
            <v>1173</v>
          </cell>
        </row>
        <row r="51">
          <cell r="D51">
            <v>223</v>
          </cell>
        </row>
        <row r="52">
          <cell r="D52">
            <v>470</v>
          </cell>
        </row>
        <row r="53">
          <cell r="D53">
            <v>722</v>
          </cell>
        </row>
        <row r="54">
          <cell r="D54">
            <v>867</v>
          </cell>
        </row>
        <row r="55">
          <cell r="D55">
            <v>425</v>
          </cell>
        </row>
        <row r="56">
          <cell r="D56">
            <v>523</v>
          </cell>
        </row>
        <row r="57">
          <cell r="D57">
            <v>433</v>
          </cell>
        </row>
        <row r="58">
          <cell r="D58">
            <v>785</v>
          </cell>
        </row>
        <row r="59">
          <cell r="D59">
            <v>487</v>
          </cell>
        </row>
        <row r="60">
          <cell r="D60">
            <v>593</v>
          </cell>
        </row>
        <row r="61">
          <cell r="D61">
            <v>395</v>
          </cell>
        </row>
        <row r="62">
          <cell r="D62">
            <v>504</v>
          </cell>
        </row>
        <row r="63">
          <cell r="D63">
            <v>765</v>
          </cell>
        </row>
        <row r="64">
          <cell r="D64">
            <v>601</v>
          </cell>
        </row>
      </sheetData>
      <sheetData sheetId="43">
        <row r="6">
          <cell r="C6">
            <v>9664</v>
          </cell>
        </row>
        <row r="7">
          <cell r="C7">
            <v>4070</v>
          </cell>
        </row>
        <row r="8">
          <cell r="C8">
            <v>20853</v>
          </cell>
        </row>
        <row r="9">
          <cell r="C9">
            <v>3565</v>
          </cell>
        </row>
        <row r="10">
          <cell r="C10">
            <v>5610</v>
          </cell>
        </row>
        <row r="11">
          <cell r="C11">
            <v>5861</v>
          </cell>
        </row>
        <row r="12">
          <cell r="C12">
            <v>2178</v>
          </cell>
        </row>
        <row r="13">
          <cell r="C13">
            <v>21455</v>
          </cell>
        </row>
        <row r="14">
          <cell r="C14">
            <v>39798</v>
          </cell>
          <cell r="D14">
            <v>508</v>
          </cell>
        </row>
        <row r="15">
          <cell r="C15">
            <v>30696</v>
          </cell>
        </row>
        <row r="16">
          <cell r="C16">
            <v>1564</v>
          </cell>
        </row>
        <row r="17">
          <cell r="C17">
            <v>1217</v>
          </cell>
        </row>
        <row r="18">
          <cell r="C18">
            <v>1430</v>
          </cell>
        </row>
        <row r="19">
          <cell r="C19">
            <v>1661</v>
          </cell>
        </row>
        <row r="20">
          <cell r="C20">
            <v>3374</v>
          </cell>
        </row>
        <row r="21">
          <cell r="C21">
            <v>4848</v>
          </cell>
        </row>
        <row r="22">
          <cell r="C22">
            <v>40250</v>
          </cell>
          <cell r="D22">
            <v>530</v>
          </cell>
        </row>
        <row r="23">
          <cell r="C23">
            <v>1048</v>
          </cell>
        </row>
        <row r="24">
          <cell r="C24">
            <v>1884</v>
          </cell>
        </row>
        <row r="25">
          <cell r="C25">
            <v>5840</v>
          </cell>
        </row>
        <row r="26">
          <cell r="C26">
            <v>2890</v>
          </cell>
        </row>
        <row r="27">
          <cell r="C27">
            <v>3126</v>
          </cell>
        </row>
        <row r="28">
          <cell r="C28">
            <v>13494</v>
          </cell>
        </row>
        <row r="29">
          <cell r="C29">
            <v>4566</v>
          </cell>
        </row>
        <row r="30">
          <cell r="C30">
            <v>2285</v>
          </cell>
        </row>
        <row r="31">
          <cell r="C31">
            <v>44749</v>
          </cell>
        </row>
        <row r="32">
          <cell r="C32">
            <v>5620</v>
          </cell>
        </row>
        <row r="33">
          <cell r="C33">
            <v>30064</v>
          </cell>
        </row>
        <row r="34">
          <cell r="C34">
            <v>13810</v>
          </cell>
        </row>
        <row r="35">
          <cell r="C35">
            <v>2460</v>
          </cell>
        </row>
        <row r="36">
          <cell r="C36">
            <v>6354</v>
          </cell>
        </row>
        <row r="37">
          <cell r="C37">
            <v>25019</v>
          </cell>
        </row>
        <row r="38">
          <cell r="C38">
            <v>1417</v>
          </cell>
        </row>
        <row r="39">
          <cell r="C39">
            <v>4375</v>
          </cell>
        </row>
        <row r="40">
          <cell r="C40">
            <v>6370</v>
          </cell>
        </row>
        <row r="41">
          <cell r="C41">
            <v>12073</v>
          </cell>
        </row>
        <row r="42">
          <cell r="C42">
            <v>19389</v>
          </cell>
        </row>
        <row r="43">
          <cell r="C43">
            <v>3851</v>
          </cell>
        </row>
        <row r="44">
          <cell r="C44">
            <v>2600</v>
          </cell>
        </row>
        <row r="45">
          <cell r="C45">
            <v>22930</v>
          </cell>
        </row>
        <row r="46">
          <cell r="C46">
            <v>1451</v>
          </cell>
        </row>
        <row r="47">
          <cell r="C47">
            <v>3234</v>
          </cell>
        </row>
        <row r="48">
          <cell r="C48">
            <v>4095</v>
          </cell>
        </row>
        <row r="49">
          <cell r="C49">
            <v>6651</v>
          </cell>
        </row>
        <row r="50">
          <cell r="C50">
            <v>9391</v>
          </cell>
        </row>
        <row r="51">
          <cell r="C51">
            <v>718</v>
          </cell>
        </row>
        <row r="52">
          <cell r="C52">
            <v>3626</v>
          </cell>
        </row>
        <row r="53">
          <cell r="C53">
            <v>5739</v>
          </cell>
        </row>
        <row r="54">
          <cell r="C54">
            <v>14198</v>
          </cell>
        </row>
        <row r="55">
          <cell r="C55">
            <v>7891</v>
          </cell>
        </row>
        <row r="56">
          <cell r="C56">
            <v>8872</v>
          </cell>
        </row>
        <row r="57">
          <cell r="C57">
            <v>37028</v>
          </cell>
        </row>
        <row r="58">
          <cell r="C58">
            <v>19264</v>
          </cell>
        </row>
        <row r="59">
          <cell r="C59">
            <v>644</v>
          </cell>
        </row>
        <row r="60">
          <cell r="C60">
            <v>17722</v>
          </cell>
        </row>
        <row r="61">
          <cell r="C61">
            <v>2191</v>
          </cell>
        </row>
        <row r="62">
          <cell r="C62">
            <v>9095</v>
          </cell>
        </row>
        <row r="63">
          <cell r="C63">
            <v>8929</v>
          </cell>
        </row>
        <row r="64">
          <cell r="C64">
            <v>5104</v>
          </cell>
        </row>
        <row r="65">
          <cell r="C65">
            <v>6408</v>
          </cell>
        </row>
        <row r="66">
          <cell r="C66">
            <v>3603</v>
          </cell>
        </row>
        <row r="67">
          <cell r="C67">
            <v>2113</v>
          </cell>
        </row>
        <row r="68">
          <cell r="C68">
            <v>2035</v>
          </cell>
        </row>
        <row r="69">
          <cell r="C69">
            <v>2346</v>
          </cell>
        </row>
        <row r="70">
          <cell r="C70">
            <v>8173</v>
          </cell>
        </row>
        <row r="71">
          <cell r="C71">
            <v>1845</v>
          </cell>
        </row>
        <row r="72">
          <cell r="C72">
            <v>5254</v>
          </cell>
        </row>
        <row r="73">
          <cell r="C73">
            <v>1597</v>
          </cell>
        </row>
        <row r="74">
          <cell r="C74">
            <v>4299</v>
          </cell>
        </row>
        <row r="77">
          <cell r="G77">
            <v>325</v>
          </cell>
          <cell r="H77">
            <v>363</v>
          </cell>
          <cell r="I77">
            <v>819</v>
          </cell>
          <cell r="J77">
            <v>716</v>
          </cell>
          <cell r="K77">
            <v>903</v>
          </cell>
          <cell r="L77">
            <v>936</v>
          </cell>
          <cell r="M77">
            <v>346</v>
          </cell>
          <cell r="N77">
            <v>110</v>
          </cell>
          <cell r="AE77">
            <v>1394</v>
          </cell>
          <cell r="AF77">
            <v>588</v>
          </cell>
          <cell r="AG77">
            <v>278</v>
          </cell>
          <cell r="AH77">
            <v>175</v>
          </cell>
        </row>
      </sheetData>
      <sheetData sheetId="44">
        <row r="5">
          <cell r="C5">
            <v>362</v>
          </cell>
        </row>
        <row r="6">
          <cell r="C6">
            <v>43</v>
          </cell>
        </row>
        <row r="7">
          <cell r="C7">
            <v>148</v>
          </cell>
        </row>
        <row r="8">
          <cell r="C8">
            <v>164</v>
          </cell>
        </row>
        <row r="9">
          <cell r="C9">
            <v>83</v>
          </cell>
        </row>
        <row r="10">
          <cell r="C10">
            <v>44</v>
          </cell>
        </row>
        <row r="11">
          <cell r="C11">
            <v>309</v>
          </cell>
        </row>
        <row r="12">
          <cell r="C12">
            <v>143</v>
          </cell>
        </row>
        <row r="13">
          <cell r="C13">
            <v>229</v>
          </cell>
        </row>
        <row r="14">
          <cell r="C14">
            <v>236</v>
          </cell>
        </row>
        <row r="15">
          <cell r="C15">
            <v>181</v>
          </cell>
        </row>
        <row r="16">
          <cell r="C16">
            <v>140</v>
          </cell>
        </row>
        <row r="17">
          <cell r="C17">
            <v>182</v>
          </cell>
        </row>
        <row r="18">
          <cell r="C18">
            <v>305</v>
          </cell>
        </row>
        <row r="19">
          <cell r="C19">
            <v>350</v>
          </cell>
        </row>
        <row r="20">
          <cell r="C20">
            <v>152</v>
          </cell>
        </row>
        <row r="21">
          <cell r="C21">
            <v>155</v>
          </cell>
        </row>
      </sheetData>
      <sheetData sheetId="45">
        <row r="5">
          <cell r="D5">
            <v>376</v>
          </cell>
        </row>
        <row r="6">
          <cell r="D6">
            <v>492</v>
          </cell>
        </row>
        <row r="7">
          <cell r="D7">
            <v>660</v>
          </cell>
        </row>
        <row r="8">
          <cell r="D8">
            <v>447</v>
          </cell>
        </row>
        <row r="9">
          <cell r="D9">
            <v>145</v>
          </cell>
        </row>
        <row r="10">
          <cell r="D10">
            <v>234</v>
          </cell>
        </row>
        <row r="11">
          <cell r="D11">
            <v>302</v>
          </cell>
        </row>
        <row r="12">
          <cell r="D12">
            <v>521</v>
          </cell>
        </row>
        <row r="13">
          <cell r="D13">
            <v>369</v>
          </cell>
        </row>
        <row r="14">
          <cell r="D14">
            <v>548</v>
          </cell>
        </row>
        <row r="15">
          <cell r="D15">
            <v>164</v>
          </cell>
        </row>
        <row r="16">
          <cell r="D16">
            <v>371</v>
          </cell>
        </row>
        <row r="17">
          <cell r="D17">
            <v>369</v>
          </cell>
        </row>
        <row r="18">
          <cell r="D18">
            <v>600</v>
          </cell>
        </row>
        <row r="19">
          <cell r="D19">
            <v>692</v>
          </cell>
        </row>
        <row r="20">
          <cell r="D20">
            <v>708</v>
          </cell>
        </row>
        <row r="21">
          <cell r="D21">
            <v>174</v>
          </cell>
        </row>
        <row r="22">
          <cell r="D22">
            <v>177</v>
          </cell>
        </row>
        <row r="23">
          <cell r="D23">
            <v>777</v>
          </cell>
        </row>
        <row r="24">
          <cell r="D24">
            <v>11</v>
          </cell>
        </row>
        <row r="25">
          <cell r="D25">
            <v>450</v>
          </cell>
        </row>
        <row r="26">
          <cell r="D26">
            <v>379</v>
          </cell>
        </row>
        <row r="27">
          <cell r="D27">
            <v>467</v>
          </cell>
        </row>
        <row r="28">
          <cell r="D28">
            <v>482</v>
          </cell>
        </row>
        <row r="29">
          <cell r="D29">
            <v>433</v>
          </cell>
        </row>
        <row r="30">
          <cell r="D30">
            <v>202</v>
          </cell>
        </row>
        <row r="31">
          <cell r="D31">
            <v>186</v>
          </cell>
        </row>
        <row r="32">
          <cell r="D32">
            <v>326</v>
          </cell>
        </row>
        <row r="33">
          <cell r="D33">
            <v>322</v>
          </cell>
        </row>
        <row r="34">
          <cell r="D34">
            <v>493</v>
          </cell>
        </row>
        <row r="35">
          <cell r="D35">
            <v>278</v>
          </cell>
        </row>
        <row r="36">
          <cell r="D36">
            <v>599</v>
          </cell>
        </row>
        <row r="37">
          <cell r="D37">
            <v>511</v>
          </cell>
        </row>
        <row r="38">
          <cell r="D38">
            <v>738</v>
          </cell>
        </row>
        <row r="39">
          <cell r="D39">
            <v>377</v>
          </cell>
        </row>
        <row r="40">
          <cell r="D40">
            <v>449</v>
          </cell>
        </row>
        <row r="41">
          <cell r="D41">
            <v>880</v>
          </cell>
        </row>
        <row r="42">
          <cell r="D42">
            <v>484</v>
          </cell>
        </row>
        <row r="43">
          <cell r="D43">
            <v>439</v>
          </cell>
        </row>
        <row r="44">
          <cell r="D44">
            <v>686</v>
          </cell>
        </row>
        <row r="45">
          <cell r="D45">
            <v>778</v>
          </cell>
        </row>
        <row r="46">
          <cell r="D46">
            <v>616</v>
          </cell>
        </row>
        <row r="47">
          <cell r="D47">
            <v>564</v>
          </cell>
        </row>
        <row r="48">
          <cell r="D48">
            <v>1170</v>
          </cell>
        </row>
        <row r="49">
          <cell r="D49">
            <v>234</v>
          </cell>
        </row>
        <row r="50">
          <cell r="D50">
            <v>447</v>
          </cell>
        </row>
        <row r="51">
          <cell r="D51">
            <v>714</v>
          </cell>
        </row>
        <row r="52">
          <cell r="D52">
            <v>878</v>
          </cell>
        </row>
        <row r="53">
          <cell r="D53">
            <v>430</v>
          </cell>
        </row>
        <row r="54">
          <cell r="D54">
            <v>524</v>
          </cell>
        </row>
        <row r="55">
          <cell r="D55">
            <v>418</v>
          </cell>
        </row>
        <row r="56">
          <cell r="D56">
            <v>770</v>
          </cell>
        </row>
        <row r="57">
          <cell r="D57">
            <v>482</v>
          </cell>
        </row>
        <row r="58">
          <cell r="D58">
            <v>583</v>
          </cell>
        </row>
        <row r="59">
          <cell r="D59">
            <v>379</v>
          </cell>
        </row>
        <row r="60">
          <cell r="D60">
            <v>496</v>
          </cell>
        </row>
        <row r="61">
          <cell r="D61">
            <v>777</v>
          </cell>
        </row>
        <row r="62">
          <cell r="D62">
            <v>587</v>
          </cell>
        </row>
      </sheetData>
      <sheetData sheetId="4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Table 1 State Summary "/>
      <sheetName val="Table 2_State Distrib and Adjs"/>
      <sheetName val="Table 2A-1_EFT (Annual)"/>
      <sheetName val="Table 2A-2 EFT (Monthly)"/>
      <sheetName val="Table 3 Levels 1&amp;2"/>
      <sheetName val="Table 4 Level 3"/>
      <sheetName val="Table 4A Stipends"/>
      <sheetName val="Table 5A Labs, NOCCA,LSMSA"/>
      <sheetName val="Table 5B1_RSD_Orleans"/>
      <sheetName val="Table 5B2_RSD_LA"/>
      <sheetName val="Table 5C1A-Madison Prep"/>
      <sheetName val="Table 5C1B-DArbonne"/>
      <sheetName val="Table 5C1C-Intl_VIBE"/>
      <sheetName val="Table 5C1D-NOMMA"/>
      <sheetName val="Table 5C1E-LFNO"/>
      <sheetName val="Table 5C1F-Lake Charles Charter"/>
      <sheetName val="Table 5C1G-JS Clark Academy"/>
      <sheetName val="Table 5C1H-Southwest LA Charter"/>
      <sheetName val="Table 5C1I-LA Key Academy"/>
      <sheetName val="Table 5C1J-Jefferson Chamber"/>
      <sheetName val="Table 5C1K-Tallulah Charter"/>
      <sheetName val="Table 5C1L-Northshore Charter"/>
      <sheetName val="Table 5C1M-B.R. Charter"/>
      <sheetName val="Table 5C1N-Delta Charter"/>
      <sheetName val="Table 5C2 - LA Virtual Admy"/>
      <sheetName val="Table 5C3 - LA Connections EBR"/>
      <sheetName val="Table 5D- Legacy Type 2"/>
      <sheetName val="Table 5E_OJJ"/>
      <sheetName val="Table 6 (Local Deduct Calc.)"/>
      <sheetName val="Table 7 Local Revenue"/>
      <sheetName val="2-1-13 SIS"/>
    </sheetNames>
    <sheetDataSet>
      <sheetData sheetId="0" refreshError="1"/>
      <sheetData sheetId="1" refreshError="1"/>
      <sheetData sheetId="2">
        <row r="7">
          <cell r="V7">
            <v>4279450</v>
          </cell>
        </row>
      </sheetData>
      <sheetData sheetId="3" refreshError="1"/>
      <sheetData sheetId="4" refreshError="1"/>
      <sheetData sheetId="5">
        <row r="8">
          <cell r="AL8">
            <v>4597.5882673899441</v>
          </cell>
        </row>
        <row r="9">
          <cell r="AL9">
            <v>6182.4313545138375</v>
          </cell>
        </row>
        <row r="10">
          <cell r="AL10">
            <v>4206.710737685361</v>
          </cell>
        </row>
        <row r="11">
          <cell r="AL11">
            <v>5987.4993535453223</v>
          </cell>
        </row>
        <row r="12">
          <cell r="AL12">
            <v>4986.8166927080074</v>
          </cell>
        </row>
        <row r="13">
          <cell r="AL13">
            <v>5412.7883404260592</v>
          </cell>
        </row>
        <row r="14">
          <cell r="AL14">
            <v>1766.1023604176123</v>
          </cell>
        </row>
        <row r="15">
          <cell r="AL15">
            <v>4289.5073606712331</v>
          </cell>
        </row>
        <row r="16">
          <cell r="AL16">
            <v>4395.6154516889328</v>
          </cell>
        </row>
        <row r="17">
          <cell r="AL17">
            <v>4253.5980618992444</v>
          </cell>
        </row>
        <row r="18">
          <cell r="AL18">
            <v>6852.9138435383502</v>
          </cell>
        </row>
        <row r="19">
          <cell r="AL19">
            <v>1733.9056059356967</v>
          </cell>
        </row>
        <row r="20">
          <cell r="AL20">
            <v>6254.1238637730876</v>
          </cell>
        </row>
        <row r="21">
          <cell r="AL21">
            <v>5377.9187438545459</v>
          </cell>
        </row>
        <row r="22">
          <cell r="AL22">
            <v>5527.7651197617861</v>
          </cell>
        </row>
        <row r="23">
          <cell r="AL23">
            <v>1530.3678845377474</v>
          </cell>
        </row>
        <row r="24">
          <cell r="AL24">
            <v>3313.0666313017805</v>
          </cell>
        </row>
        <row r="25">
          <cell r="AL25">
            <v>5989.1351892854573</v>
          </cell>
        </row>
        <row r="26">
          <cell r="AL26">
            <v>5315.8913399708035</v>
          </cell>
        </row>
        <row r="27">
          <cell r="AL27">
            <v>5420.2042919205833</v>
          </cell>
        </row>
        <row r="28">
          <cell r="AL28">
            <v>5724.5404916279067</v>
          </cell>
        </row>
        <row r="29">
          <cell r="AL29">
            <v>6203.2933768722742</v>
          </cell>
        </row>
        <row r="30">
          <cell r="AL30">
            <v>4846.0802490067681</v>
          </cell>
        </row>
        <row r="31">
          <cell r="AL31">
            <v>2764.1216755319151</v>
          </cell>
        </row>
        <row r="32">
          <cell r="AL32">
            <v>3867.4480692053257</v>
          </cell>
        </row>
        <row r="33">
          <cell r="AL33">
            <v>3293.481526790355</v>
          </cell>
        </row>
        <row r="34">
          <cell r="AL34">
            <v>5680.7727517381973</v>
          </cell>
        </row>
        <row r="35">
          <cell r="AL35">
            <v>3163.1694438483169</v>
          </cell>
        </row>
        <row r="36">
          <cell r="AL36">
            <v>3952.5586133052648</v>
          </cell>
        </row>
        <row r="37">
          <cell r="AL37">
            <v>5648.6510465852989</v>
          </cell>
        </row>
        <row r="38">
          <cell r="AL38">
            <v>4348.9307899232972</v>
          </cell>
        </row>
        <row r="39">
          <cell r="AL39">
            <v>5531.5157655456787</v>
          </cell>
        </row>
        <row r="40">
          <cell r="AL40">
            <v>5329.5444226517857</v>
          </cell>
        </row>
        <row r="41">
          <cell r="AL41">
            <v>6003.632932007491</v>
          </cell>
        </row>
        <row r="42">
          <cell r="AL42">
            <v>4607.1606416222867</v>
          </cell>
        </row>
        <row r="43">
          <cell r="AL43">
            <v>3520.4894337711748</v>
          </cell>
        </row>
        <row r="44">
          <cell r="AL44">
            <v>5503.7595641818853</v>
          </cell>
        </row>
        <row r="45">
          <cell r="AL45">
            <v>2192.7545275590551</v>
          </cell>
        </row>
        <row r="46">
          <cell r="AL46">
            <v>3639.9942778062696</v>
          </cell>
        </row>
        <row r="47">
          <cell r="AL47">
            <v>4928.4974462701202</v>
          </cell>
        </row>
        <row r="48">
          <cell r="AL48">
            <v>1615.6013465627216</v>
          </cell>
        </row>
        <row r="49">
          <cell r="AL49">
            <v>5087.4730460987803</v>
          </cell>
        </row>
        <row r="50">
          <cell r="AL50">
            <v>4717.8414352725031</v>
          </cell>
        </row>
        <row r="51">
          <cell r="AL51">
            <v>4696.6221228259064</v>
          </cell>
        </row>
        <row r="52">
          <cell r="AL52">
            <v>2192.4914538932262</v>
          </cell>
        </row>
        <row r="53">
          <cell r="AL53">
            <v>5644.6599115241634</v>
          </cell>
        </row>
        <row r="54">
          <cell r="AL54">
            <v>2731.2444076222037</v>
          </cell>
        </row>
        <row r="55">
          <cell r="AL55">
            <v>4272.723323083942</v>
          </cell>
        </row>
        <row r="56">
          <cell r="AL56">
            <v>4836.7092570332552</v>
          </cell>
        </row>
        <row r="57">
          <cell r="AL57">
            <v>5032.6862895017111</v>
          </cell>
        </row>
        <row r="58">
          <cell r="AL58">
            <v>4246.0339872793602</v>
          </cell>
        </row>
        <row r="59">
          <cell r="AL59">
            <v>5013.4438050113249</v>
          </cell>
        </row>
        <row r="60">
          <cell r="AL60">
            <v>4775.5877635581091</v>
          </cell>
        </row>
        <row r="61">
          <cell r="AL61">
            <v>5951.8009386275662</v>
          </cell>
        </row>
        <row r="62">
          <cell r="AL62">
            <v>4171.0434735233157</v>
          </cell>
        </row>
        <row r="63">
          <cell r="AL63">
            <v>4968.593189672727</v>
          </cell>
        </row>
        <row r="64">
          <cell r="AL64">
            <v>4485.7073020218859</v>
          </cell>
        </row>
        <row r="65">
          <cell r="AL65">
            <v>5457.8662803476354</v>
          </cell>
        </row>
        <row r="66">
          <cell r="AL66">
            <v>6274.2786338006481</v>
          </cell>
        </row>
        <row r="67">
          <cell r="AL67">
            <v>4940.9166775610411</v>
          </cell>
        </row>
        <row r="68">
          <cell r="AL68">
            <v>2908.0344869339228</v>
          </cell>
        </row>
        <row r="69">
          <cell r="AL69">
            <v>5652.1730736722093</v>
          </cell>
        </row>
        <row r="70">
          <cell r="AL70">
            <v>4362.300753810403</v>
          </cell>
        </row>
        <row r="71">
          <cell r="AL71">
            <v>5960.2049072003338</v>
          </cell>
        </row>
        <row r="72">
          <cell r="AL72">
            <v>4579.2772303106676</v>
          </cell>
        </row>
        <row r="73">
          <cell r="AL73">
            <v>6370.8108195713585</v>
          </cell>
        </row>
        <row r="74">
          <cell r="AL74">
            <v>4951.6009932106244</v>
          </cell>
        </row>
        <row r="75">
          <cell r="AL75">
            <v>6077.2398733698947</v>
          </cell>
        </row>
        <row r="76">
          <cell r="AL76">
            <v>5585.8253106686579</v>
          </cell>
        </row>
      </sheetData>
      <sheetData sheetId="6">
        <row r="6">
          <cell r="P6">
            <v>777.48</v>
          </cell>
        </row>
        <row r="7">
          <cell r="P7">
            <v>842.32</v>
          </cell>
        </row>
        <row r="8">
          <cell r="P8">
            <v>596.84</v>
          </cell>
        </row>
        <row r="9">
          <cell r="P9">
            <v>585.76</v>
          </cell>
        </row>
        <row r="10">
          <cell r="P10">
            <v>555.91</v>
          </cell>
        </row>
        <row r="11">
          <cell r="P11">
            <v>545.4799999999999</v>
          </cell>
        </row>
        <row r="12">
          <cell r="P12">
            <v>756.91999999999985</v>
          </cell>
        </row>
        <row r="13">
          <cell r="P13">
            <v>725.76</v>
          </cell>
        </row>
        <row r="14">
          <cell r="P14">
            <v>744.76</v>
          </cell>
        </row>
        <row r="15">
          <cell r="P15">
            <v>608.04000000000008</v>
          </cell>
        </row>
        <row r="16">
          <cell r="P16">
            <v>706.55</v>
          </cell>
        </row>
        <row r="17">
          <cell r="P17">
            <v>1063.31</v>
          </cell>
        </row>
        <row r="18">
          <cell r="P18">
            <v>749.43000000000006</v>
          </cell>
        </row>
        <row r="19">
          <cell r="P19">
            <v>809.9799999999999</v>
          </cell>
        </row>
        <row r="20">
          <cell r="P20">
            <v>553.79999999999995</v>
          </cell>
        </row>
        <row r="21">
          <cell r="P21">
            <v>686.73</v>
          </cell>
        </row>
        <row r="22">
          <cell r="P22">
            <v>801.47762416806802</v>
          </cell>
        </row>
        <row r="23">
          <cell r="P23">
            <v>845.94999999999993</v>
          </cell>
        </row>
        <row r="24">
          <cell r="P24">
            <v>905.43</v>
          </cell>
        </row>
        <row r="25">
          <cell r="P25">
            <v>586.16999999999996</v>
          </cell>
        </row>
        <row r="26">
          <cell r="P26">
            <v>610.35</v>
          </cell>
        </row>
        <row r="27">
          <cell r="P27">
            <v>496.36</v>
          </cell>
        </row>
        <row r="28">
          <cell r="P28">
            <v>688.58</v>
          </cell>
        </row>
        <row r="29">
          <cell r="P29">
            <v>854.24999999999989</v>
          </cell>
        </row>
        <row r="30">
          <cell r="P30">
            <v>653.73</v>
          </cell>
        </row>
        <row r="31">
          <cell r="P31">
            <v>836.83</v>
          </cell>
        </row>
        <row r="32">
          <cell r="P32">
            <v>693.06</v>
          </cell>
        </row>
        <row r="33">
          <cell r="P33">
            <v>694.4</v>
          </cell>
        </row>
        <row r="34">
          <cell r="P34">
            <v>754.94999999999993</v>
          </cell>
        </row>
        <row r="35">
          <cell r="P35">
            <v>727.17</v>
          </cell>
        </row>
        <row r="36">
          <cell r="P36">
            <v>620.83000000000004</v>
          </cell>
        </row>
        <row r="37">
          <cell r="P37">
            <v>559.77</v>
          </cell>
        </row>
        <row r="38">
          <cell r="P38">
            <v>655.31000000000006</v>
          </cell>
        </row>
        <row r="39">
          <cell r="P39">
            <v>644.11000000000013</v>
          </cell>
        </row>
        <row r="40">
          <cell r="P40">
            <v>537.96</v>
          </cell>
        </row>
        <row r="41">
          <cell r="P41">
            <v>727.23177743956114</v>
          </cell>
        </row>
        <row r="42">
          <cell r="P42">
            <v>653.61</v>
          </cell>
        </row>
        <row r="43">
          <cell r="P43">
            <v>829.92000000000007</v>
          </cell>
        </row>
        <row r="44">
          <cell r="P44">
            <v>779.65573042776441</v>
          </cell>
        </row>
        <row r="45">
          <cell r="P45">
            <v>700.2700000000001</v>
          </cell>
        </row>
        <row r="46">
          <cell r="P46">
            <v>886.22</v>
          </cell>
        </row>
        <row r="47">
          <cell r="P47">
            <v>534.28</v>
          </cell>
        </row>
        <row r="48">
          <cell r="P48">
            <v>574.6099999999999</v>
          </cell>
        </row>
        <row r="49">
          <cell r="P49">
            <v>663.16000000000008</v>
          </cell>
        </row>
        <row r="50">
          <cell r="P50">
            <v>753.96000000000015</v>
          </cell>
        </row>
        <row r="51">
          <cell r="P51">
            <v>728.06</v>
          </cell>
        </row>
        <row r="52">
          <cell r="P52">
            <v>910.76</v>
          </cell>
        </row>
        <row r="53">
          <cell r="P53">
            <v>871.07</v>
          </cell>
        </row>
        <row r="54">
          <cell r="P54">
            <v>574.43999999999994</v>
          </cell>
        </row>
        <row r="55">
          <cell r="P55">
            <v>634.46</v>
          </cell>
        </row>
        <row r="56">
          <cell r="P56">
            <v>706.66</v>
          </cell>
        </row>
        <row r="57">
          <cell r="P57">
            <v>658.37</v>
          </cell>
        </row>
        <row r="58">
          <cell r="P58">
            <v>689.74</v>
          </cell>
        </row>
        <row r="59">
          <cell r="P59">
            <v>951.45</v>
          </cell>
        </row>
        <row r="60">
          <cell r="P60">
            <v>795.14</v>
          </cell>
        </row>
        <row r="61">
          <cell r="P61">
            <v>614.66000000000008</v>
          </cell>
        </row>
        <row r="62">
          <cell r="P62">
            <v>764.51</v>
          </cell>
        </row>
        <row r="63">
          <cell r="P63">
            <v>697.04</v>
          </cell>
        </row>
        <row r="64">
          <cell r="P64">
            <v>689.52</v>
          </cell>
        </row>
        <row r="65">
          <cell r="P65">
            <v>594.04</v>
          </cell>
        </row>
        <row r="66">
          <cell r="P66">
            <v>833.70999999999992</v>
          </cell>
        </row>
        <row r="67">
          <cell r="P67">
            <v>516.08000000000004</v>
          </cell>
        </row>
        <row r="68">
          <cell r="P68">
            <v>756.79</v>
          </cell>
        </row>
        <row r="69">
          <cell r="P69">
            <v>592.66</v>
          </cell>
        </row>
        <row r="70">
          <cell r="P70">
            <v>829.12</v>
          </cell>
        </row>
        <row r="71">
          <cell r="P71">
            <v>730.06</v>
          </cell>
        </row>
        <row r="72">
          <cell r="P72">
            <v>715.61</v>
          </cell>
        </row>
        <row r="73">
          <cell r="P73">
            <v>798.7</v>
          </cell>
        </row>
        <row r="74">
          <cell r="P74">
            <v>705.67</v>
          </cell>
        </row>
      </sheetData>
      <sheetData sheetId="7" refreshError="1"/>
      <sheetData sheetId="8">
        <row r="8">
          <cell r="C8">
            <v>4355.8307194085073</v>
          </cell>
          <cell r="E8">
            <v>605.97185873605952</v>
          </cell>
        </row>
        <row r="9">
          <cell r="C9">
            <v>4355.8307194085073</v>
          </cell>
          <cell r="E9">
            <v>699.89832861189802</v>
          </cell>
        </row>
        <row r="19">
          <cell r="C19">
            <v>4355.8307194085073</v>
          </cell>
          <cell r="E19">
            <v>704.49059912051428</v>
          </cell>
        </row>
        <row r="20">
          <cell r="C20">
            <v>4355.8307194085073</v>
          </cell>
          <cell r="E20">
            <v>704.49059912051428</v>
          </cell>
        </row>
      </sheetData>
      <sheetData sheetId="9">
        <row r="9">
          <cell r="C9">
            <v>2381</v>
          </cell>
          <cell r="F9">
            <v>797.0524448632965</v>
          </cell>
        </row>
        <row r="12">
          <cell r="C12">
            <v>398</v>
          </cell>
          <cell r="D12">
            <v>3520.4894337711748</v>
          </cell>
          <cell r="F12">
            <v>767.72184717013943</v>
          </cell>
        </row>
        <row r="13">
          <cell r="C13">
            <v>456</v>
          </cell>
          <cell r="D13">
            <v>3520.4894337711748</v>
          </cell>
          <cell r="F13">
            <v>730.66950653120466</v>
          </cell>
        </row>
        <row r="14">
          <cell r="C14">
            <v>658</v>
          </cell>
          <cell r="D14">
            <v>3520.4894337711748</v>
          </cell>
          <cell r="F14">
            <v>767.72184717013943</v>
          </cell>
        </row>
        <row r="15">
          <cell r="C15">
            <v>412</v>
          </cell>
          <cell r="D15">
            <v>3520.4894337711748</v>
          </cell>
          <cell r="F15">
            <v>746.0335616438357</v>
          </cell>
        </row>
        <row r="16">
          <cell r="C16">
            <v>156</v>
          </cell>
          <cell r="D16">
            <v>3520.4894337711748</v>
          </cell>
          <cell r="F16">
            <v>746.0335616438357</v>
          </cell>
        </row>
        <row r="17">
          <cell r="C17">
            <v>163</v>
          </cell>
          <cell r="D17">
            <v>3520.4894337711748</v>
          </cell>
          <cell r="F17">
            <v>746.0335616438357</v>
          </cell>
        </row>
        <row r="18">
          <cell r="C18">
            <v>377</v>
          </cell>
          <cell r="D18">
            <v>3520.4894337711748</v>
          </cell>
          <cell r="F18">
            <v>746.0335616438357</v>
          </cell>
        </row>
        <row r="19">
          <cell r="C19">
            <v>530</v>
          </cell>
          <cell r="D19">
            <v>3520.4894337711748</v>
          </cell>
          <cell r="F19">
            <v>746.0335616438357</v>
          </cell>
        </row>
        <row r="20">
          <cell r="C20">
            <v>460</v>
          </cell>
          <cell r="D20">
            <v>3520.4894337711748</v>
          </cell>
          <cell r="F20">
            <v>746.0335616438357</v>
          </cell>
        </row>
        <row r="21">
          <cell r="C21">
            <v>523</v>
          </cell>
          <cell r="D21">
            <v>3520.4894337711748</v>
          </cell>
          <cell r="F21">
            <v>746.0335616438357</v>
          </cell>
        </row>
        <row r="22">
          <cell r="C22">
            <v>121</v>
          </cell>
          <cell r="D22">
            <v>3520.4894337711748</v>
          </cell>
          <cell r="F22">
            <v>746.0335616438357</v>
          </cell>
        </row>
        <row r="23">
          <cell r="C23">
            <v>393</v>
          </cell>
          <cell r="D23">
            <v>3520.4894337711748</v>
          </cell>
          <cell r="F23">
            <v>746.0335616438357</v>
          </cell>
        </row>
        <row r="24">
          <cell r="C24">
            <v>262</v>
          </cell>
          <cell r="D24">
            <v>3520.4894337711748</v>
          </cell>
          <cell r="F24">
            <v>746.0335616438357</v>
          </cell>
        </row>
        <row r="25">
          <cell r="C25">
            <v>651</v>
          </cell>
          <cell r="D25">
            <v>3520.4894337711748</v>
          </cell>
          <cell r="F25">
            <v>746.0335616438357</v>
          </cell>
        </row>
        <row r="26">
          <cell r="C26">
            <v>655</v>
          </cell>
          <cell r="D26">
            <v>3520.4894337711748</v>
          </cell>
          <cell r="F26">
            <v>746.0335616438357</v>
          </cell>
        </row>
        <row r="27">
          <cell r="C27">
            <v>639</v>
          </cell>
          <cell r="D27">
            <v>3520.4894337711748</v>
          </cell>
          <cell r="F27">
            <v>746.0335616438357</v>
          </cell>
        </row>
        <row r="28">
          <cell r="C28">
            <v>188</v>
          </cell>
          <cell r="D28">
            <v>3520.4894337711748</v>
          </cell>
          <cell r="F28">
            <v>746.0335616438357</v>
          </cell>
        </row>
        <row r="29">
          <cell r="C29">
            <v>180</v>
          </cell>
          <cell r="D29">
            <v>3520.4894337711748</v>
          </cell>
          <cell r="F29">
            <v>746.0335616438357</v>
          </cell>
        </row>
        <row r="30">
          <cell r="C30">
            <v>818</v>
          </cell>
          <cell r="D30">
            <v>3520.4894337711748</v>
          </cell>
          <cell r="F30">
            <v>746.0335616438357</v>
          </cell>
        </row>
        <row r="31">
          <cell r="C31">
            <v>399</v>
          </cell>
          <cell r="D31">
            <v>3520.4894337711748</v>
          </cell>
          <cell r="F31">
            <v>746.0335616438357</v>
          </cell>
        </row>
        <row r="32">
          <cell r="C32">
            <v>398</v>
          </cell>
          <cell r="D32">
            <v>3520.4894337711748</v>
          </cell>
          <cell r="F32">
            <v>746.0335616438357</v>
          </cell>
        </row>
        <row r="33">
          <cell r="C33">
            <v>402</v>
          </cell>
          <cell r="D33">
            <v>3520.4894337711748</v>
          </cell>
          <cell r="F33">
            <v>746.0335616438357</v>
          </cell>
        </row>
        <row r="34">
          <cell r="C34">
            <v>381</v>
          </cell>
          <cell r="D34">
            <v>3520.4894337711748</v>
          </cell>
          <cell r="F34">
            <v>743.65689655172423</v>
          </cell>
        </row>
        <row r="35">
          <cell r="C35">
            <v>401</v>
          </cell>
          <cell r="D35">
            <v>3520.4894337711748</v>
          </cell>
          <cell r="F35">
            <v>783.54939759036142</v>
          </cell>
        </row>
        <row r="36">
          <cell r="C36">
            <v>105</v>
          </cell>
          <cell r="D36">
            <v>3520.4894337711748</v>
          </cell>
          <cell r="F36">
            <v>746.0335616438357</v>
          </cell>
        </row>
        <row r="37">
          <cell r="C37">
            <v>100</v>
          </cell>
          <cell r="D37">
            <v>3520.4894337711748</v>
          </cell>
          <cell r="F37">
            <v>746.0335616438357</v>
          </cell>
        </row>
        <row r="38">
          <cell r="C38">
            <v>400</v>
          </cell>
          <cell r="D38">
            <v>3520.4894337711748</v>
          </cell>
          <cell r="F38">
            <v>735.82244897959185</v>
          </cell>
        </row>
        <row r="39">
          <cell r="C39">
            <v>352</v>
          </cell>
          <cell r="D39">
            <v>3520.4894337711748</v>
          </cell>
          <cell r="F39">
            <v>618.75651162790689</v>
          </cell>
        </row>
        <row r="40">
          <cell r="C40">
            <v>493</v>
          </cell>
          <cell r="D40">
            <v>3520.4894337711748</v>
          </cell>
          <cell r="F40">
            <v>746.0335616438357</v>
          </cell>
        </row>
        <row r="41">
          <cell r="C41">
            <v>376</v>
          </cell>
          <cell r="D41">
            <v>3520.4894337711748</v>
          </cell>
          <cell r="F41">
            <v>746.0335616438357</v>
          </cell>
        </row>
        <row r="42">
          <cell r="C42">
            <v>608</v>
          </cell>
          <cell r="D42">
            <v>3520.4894337711748</v>
          </cell>
          <cell r="F42">
            <v>708.2132751810401</v>
          </cell>
        </row>
        <row r="43">
          <cell r="C43">
            <v>596</v>
          </cell>
          <cell r="D43">
            <v>3520.4894337711748</v>
          </cell>
          <cell r="F43">
            <v>650.55234865477053</v>
          </cell>
        </row>
        <row r="44">
          <cell r="C44">
            <v>694</v>
          </cell>
          <cell r="D44">
            <v>3520.4894337711748</v>
          </cell>
          <cell r="F44">
            <v>721.28337970262919</v>
          </cell>
        </row>
        <row r="45">
          <cell r="C45">
            <v>347</v>
          </cell>
          <cell r="D45">
            <v>3520.4894337711748</v>
          </cell>
          <cell r="F45">
            <v>746.0335616438357</v>
          </cell>
        </row>
        <row r="46">
          <cell r="C46">
            <v>425</v>
          </cell>
          <cell r="D46">
            <v>3520.4894337711748</v>
          </cell>
          <cell r="F46">
            <v>600.21655982905986</v>
          </cell>
        </row>
        <row r="47">
          <cell r="C47">
            <v>886</v>
          </cell>
          <cell r="D47">
            <v>3520.4894337711748</v>
          </cell>
          <cell r="F47">
            <v>776.90344307346322</v>
          </cell>
        </row>
        <row r="48">
          <cell r="C48">
            <v>466</v>
          </cell>
          <cell r="D48">
            <v>3520.4894337711748</v>
          </cell>
          <cell r="F48">
            <v>642.89065513553726</v>
          </cell>
        </row>
        <row r="49">
          <cell r="C49">
            <v>444</v>
          </cell>
          <cell r="D49">
            <v>3520.4894337711748</v>
          </cell>
          <cell r="F49">
            <v>746.0335616438357</v>
          </cell>
        </row>
        <row r="50">
          <cell r="C50">
            <v>673</v>
          </cell>
          <cell r="D50">
            <v>3520.4894337711748</v>
          </cell>
          <cell r="F50">
            <v>678.38194087511556</v>
          </cell>
        </row>
        <row r="51">
          <cell r="C51">
            <v>606</v>
          </cell>
          <cell r="D51">
            <v>3520.4894337711748</v>
          </cell>
          <cell r="F51">
            <v>686.92241021135874</v>
          </cell>
        </row>
        <row r="52">
          <cell r="C52">
            <v>634</v>
          </cell>
          <cell r="D52">
            <v>3520.4894337711748</v>
          </cell>
          <cell r="F52">
            <v>761.3587570202327</v>
          </cell>
        </row>
        <row r="53">
          <cell r="C53">
            <v>475</v>
          </cell>
          <cell r="D53">
            <v>3520.4894337711748</v>
          </cell>
          <cell r="F53">
            <v>1003.4698393033485</v>
          </cell>
        </row>
        <row r="54">
          <cell r="C54">
            <v>879</v>
          </cell>
          <cell r="D54">
            <v>3520.4894337711748</v>
          </cell>
          <cell r="F54">
            <v>592.05529010815155</v>
          </cell>
        </row>
        <row r="55">
          <cell r="C55">
            <v>261</v>
          </cell>
          <cell r="D55">
            <v>3520.4894337711748</v>
          </cell>
          <cell r="F55">
            <v>907.69666061705993</v>
          </cell>
        </row>
        <row r="56">
          <cell r="C56">
            <v>483</v>
          </cell>
          <cell r="D56">
            <v>3520.4894337711748</v>
          </cell>
          <cell r="F56">
            <v>741.72363820787723</v>
          </cell>
        </row>
        <row r="57">
          <cell r="C57">
            <v>603</v>
          </cell>
          <cell r="D57">
            <v>3520.4894337711748</v>
          </cell>
          <cell r="F57">
            <v>643.94778836855926</v>
          </cell>
        </row>
        <row r="58">
          <cell r="C58">
            <v>763</v>
          </cell>
          <cell r="D58">
            <v>3520.4894337711748</v>
          </cell>
          <cell r="F58">
            <v>724.79250196607131</v>
          </cell>
        </row>
        <row r="59">
          <cell r="C59">
            <v>405</v>
          </cell>
          <cell r="D59">
            <v>3520.4894337711748</v>
          </cell>
          <cell r="F59">
            <v>592.5310423197493</v>
          </cell>
        </row>
        <row r="60">
          <cell r="C60">
            <v>513</v>
          </cell>
          <cell r="D60">
            <v>3520.4894337711748</v>
          </cell>
          <cell r="F60">
            <v>741.31578947368428</v>
          </cell>
        </row>
        <row r="61">
          <cell r="C61">
            <v>343</v>
          </cell>
          <cell r="D61">
            <v>3520.4894337711748</v>
          </cell>
          <cell r="F61">
            <v>746.0335616438357</v>
          </cell>
        </row>
        <row r="62">
          <cell r="C62">
            <v>514</v>
          </cell>
          <cell r="D62">
            <v>3520.4894337711748</v>
          </cell>
          <cell r="F62">
            <v>746.0335616438357</v>
          </cell>
        </row>
        <row r="63">
          <cell r="C63">
            <v>508</v>
          </cell>
          <cell r="D63">
            <v>3520.4894337711748</v>
          </cell>
          <cell r="F63">
            <v>752.85062142702634</v>
          </cell>
        </row>
        <row r="64">
          <cell r="C64">
            <v>485</v>
          </cell>
          <cell r="D64">
            <v>3520.4894337711748</v>
          </cell>
          <cell r="F64">
            <v>803.97152919927748</v>
          </cell>
        </row>
        <row r="65">
          <cell r="C65">
            <v>394</v>
          </cell>
          <cell r="D65">
            <v>3520.4894337711748</v>
          </cell>
          <cell r="F65">
            <v>746.0335616438357</v>
          </cell>
        </row>
        <row r="66">
          <cell r="C66">
            <v>472</v>
          </cell>
          <cell r="D66">
            <v>3520.4894337711748</v>
          </cell>
          <cell r="F66">
            <v>746.0335616438357</v>
          </cell>
        </row>
        <row r="67">
          <cell r="C67">
            <v>645</v>
          </cell>
          <cell r="D67">
            <v>3520.4894337711748</v>
          </cell>
          <cell r="F67">
            <v>746.0335616438357</v>
          </cell>
        </row>
        <row r="68">
          <cell r="C68">
            <v>626</v>
          </cell>
          <cell r="D68">
            <v>3520.4894337711748</v>
          </cell>
          <cell r="F68">
            <v>746.0335616438357</v>
          </cell>
        </row>
      </sheetData>
      <sheetData sheetId="10">
        <row r="10">
          <cell r="C10">
            <v>165</v>
          </cell>
          <cell r="F10">
            <v>801.47762416806802</v>
          </cell>
        </row>
        <row r="11">
          <cell r="C11">
            <v>202</v>
          </cell>
          <cell r="F11">
            <v>801.47762416806802</v>
          </cell>
        </row>
        <row r="12">
          <cell r="C12">
            <v>209</v>
          </cell>
          <cell r="F12">
            <v>801.47762416806802</v>
          </cell>
        </row>
        <row r="13">
          <cell r="C13">
            <v>266</v>
          </cell>
          <cell r="F13">
            <v>801.47762416806802</v>
          </cell>
        </row>
        <row r="14">
          <cell r="C14">
            <v>338</v>
          </cell>
          <cell r="F14">
            <v>801.47762416806802</v>
          </cell>
        </row>
        <row r="15">
          <cell r="C15">
            <v>332</v>
          </cell>
          <cell r="F15">
            <v>801.47762416806802</v>
          </cell>
        </row>
        <row r="16">
          <cell r="C16">
            <v>239</v>
          </cell>
          <cell r="F16">
            <v>801.47762416806802</v>
          </cell>
        </row>
        <row r="17">
          <cell r="C17">
            <v>497</v>
          </cell>
          <cell r="F17">
            <v>801.47762416806802</v>
          </cell>
        </row>
        <row r="23">
          <cell r="C23">
            <v>231</v>
          </cell>
          <cell r="F23">
            <v>779.65573042776441</v>
          </cell>
        </row>
        <row r="28">
          <cell r="C28">
            <v>147</v>
          </cell>
          <cell r="F28">
            <v>744.76</v>
          </cell>
        </row>
        <row r="29">
          <cell r="C29">
            <v>508</v>
          </cell>
          <cell r="F29">
            <v>744.76</v>
          </cell>
        </row>
        <row r="35">
          <cell r="C35">
            <v>316</v>
          </cell>
          <cell r="F35">
            <v>728.06</v>
          </cell>
        </row>
      </sheetData>
      <sheetData sheetId="11">
        <row r="7">
          <cell r="C7">
            <v>0</v>
          </cell>
        </row>
      </sheetData>
      <sheetData sheetId="12">
        <row r="7">
          <cell r="C7">
            <v>0</v>
          </cell>
        </row>
      </sheetData>
      <sheetData sheetId="13">
        <row r="7">
          <cell r="C7">
            <v>0</v>
          </cell>
        </row>
      </sheetData>
      <sheetData sheetId="14">
        <row r="7">
          <cell r="C7">
            <v>0</v>
          </cell>
        </row>
      </sheetData>
      <sheetData sheetId="15">
        <row r="7">
          <cell r="C7">
            <v>0</v>
          </cell>
        </row>
      </sheetData>
      <sheetData sheetId="16">
        <row r="7">
          <cell r="C7">
            <v>0</v>
          </cell>
        </row>
      </sheetData>
      <sheetData sheetId="17">
        <row r="7">
          <cell r="C7">
            <v>0</v>
          </cell>
        </row>
      </sheetData>
      <sheetData sheetId="18">
        <row r="7">
          <cell r="C7">
            <v>0</v>
          </cell>
        </row>
      </sheetData>
      <sheetData sheetId="19">
        <row r="7">
          <cell r="C7">
            <v>0</v>
          </cell>
        </row>
      </sheetData>
      <sheetData sheetId="20">
        <row r="7">
          <cell r="C7">
            <v>0</v>
          </cell>
        </row>
      </sheetData>
      <sheetData sheetId="21">
        <row r="7">
          <cell r="C7">
            <v>0</v>
          </cell>
        </row>
      </sheetData>
      <sheetData sheetId="22">
        <row r="7">
          <cell r="C7">
            <v>0</v>
          </cell>
        </row>
      </sheetData>
      <sheetData sheetId="23">
        <row r="7">
          <cell r="C7">
            <v>0</v>
          </cell>
        </row>
      </sheetData>
      <sheetData sheetId="24">
        <row r="7">
          <cell r="C7">
            <v>0</v>
          </cell>
        </row>
      </sheetData>
      <sheetData sheetId="25">
        <row r="4">
          <cell r="C4">
            <v>14</v>
          </cell>
        </row>
      </sheetData>
      <sheetData sheetId="26">
        <row r="4">
          <cell r="C4">
            <v>18</v>
          </cell>
        </row>
      </sheetData>
      <sheetData sheetId="27">
        <row r="10">
          <cell r="D10">
            <v>9580.2772303106685</v>
          </cell>
          <cell r="F10">
            <v>716.29552188552179</v>
          </cell>
        </row>
        <row r="11">
          <cell r="F11">
            <v>598.40363440561384</v>
          </cell>
        </row>
        <row r="12">
          <cell r="F12">
            <v>714.81015756302509</v>
          </cell>
        </row>
        <row r="13">
          <cell r="F13">
            <v>536.12413544332276</v>
          </cell>
        </row>
        <row r="14">
          <cell r="F14">
            <v>527.02354414153262</v>
          </cell>
        </row>
        <row r="15">
          <cell r="F15">
            <v>788.90242015830813</v>
          </cell>
        </row>
        <row r="16">
          <cell r="F16">
            <v>705.7643831168831</v>
          </cell>
        </row>
        <row r="17">
          <cell r="F17">
            <v>659.21180998497243</v>
          </cell>
        </row>
      </sheetData>
      <sheetData sheetId="28">
        <row r="7">
          <cell r="C7">
            <v>2.2197360000000002</v>
          </cell>
        </row>
      </sheetData>
      <sheetData sheetId="29" refreshError="1"/>
      <sheetData sheetId="30" refreshError="1"/>
      <sheetData sheetId="31">
        <row r="78">
          <cell r="T78">
            <v>1376</v>
          </cell>
          <cell r="U78">
            <v>391</v>
          </cell>
          <cell r="V78">
            <v>319</v>
          </cell>
          <cell r="W78">
            <v>361</v>
          </cell>
          <cell r="X78">
            <v>735</v>
          </cell>
          <cell r="Y78">
            <v>694</v>
          </cell>
          <cell r="Z78">
            <v>675</v>
          </cell>
          <cell r="AA78">
            <v>951</v>
          </cell>
          <cell r="AB78">
            <v>458</v>
          </cell>
          <cell r="AC78">
            <v>113</v>
          </cell>
          <cell r="AD78">
            <v>275</v>
          </cell>
          <cell r="AE78">
            <v>114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ff Funding Calculation"/>
    </sheetNames>
    <sheetDataSet>
      <sheetData sheetId="0">
        <row r="31">
          <cell r="D31">
            <v>1170.6971540523818</v>
          </cell>
        </row>
        <row r="32">
          <cell r="D32">
            <v>2349.792279718793</v>
          </cell>
        </row>
        <row r="44">
          <cell r="D44">
            <v>1492.692742571654</v>
          </cell>
        </row>
        <row r="45">
          <cell r="D45">
            <v>8956.1564554299239</v>
          </cell>
        </row>
        <row r="46">
          <cell r="D46">
            <v>16419.620168288195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Table 1 State Summary "/>
      <sheetName val="Table 2_State Distrib and Adjs"/>
      <sheetName val="Table 2A-1_EFT (Annual)"/>
      <sheetName val="Table 2A-2 EFT (Monthly)"/>
      <sheetName val="Table 3 Levels 1&amp;2"/>
      <sheetName val="Table 4 Level 3"/>
      <sheetName val="Table 4A Stipends"/>
      <sheetName val="Table 5A Labs, NOCCA,LSMSA"/>
      <sheetName val="Table 5B1_RSD_Orleans"/>
      <sheetName val="Table 5B2_RSD_LA"/>
      <sheetName val="Table 5C1A-Madison Prep"/>
      <sheetName val="Table 5C1B-DArbonne"/>
      <sheetName val="Table 5C1C-Intl_VIBE"/>
      <sheetName val="Table 5C1D-NOMMA"/>
      <sheetName val="Table 5C1E-LFNO"/>
      <sheetName val="Table 5C1F-Lake Charles Charter"/>
      <sheetName val="Table 5C1G-JS Clark Academy"/>
      <sheetName val="Table 5C1H-Southwest LA Charter"/>
      <sheetName val="Table 5C1I-LA Key Academy"/>
      <sheetName val="Table 5C1J-Jefferson Chamber"/>
      <sheetName val="Table 5C1K-Tallulah Charter"/>
      <sheetName val="Table 5C1L-Northshore Charter"/>
      <sheetName val="Table 5C1M-B.R. Charter"/>
      <sheetName val="Table 5C1N-Delta Charter"/>
      <sheetName val="Table 5C2 - LA Virtual Admy"/>
      <sheetName val="Table 5C3 - LA Connections EBR"/>
      <sheetName val="Table 5D- Legacy Type 2"/>
      <sheetName val="Table 5E_OJJ"/>
      <sheetName val="Table 6 (Local Deduct Calc.)"/>
      <sheetName val="Table 7 Local Revenue"/>
      <sheetName val="2-1-13 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T9">
            <v>4668</v>
          </cell>
        </row>
        <row r="16">
          <cell r="T16">
            <v>5433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0">
          <cell r="D10">
            <v>9402.2772303106685</v>
          </cell>
        </row>
        <row r="11">
          <cell r="D11">
            <v>8616.0339872793593</v>
          </cell>
        </row>
        <row r="12">
          <cell r="D12">
            <v>8188.4894337711748</v>
          </cell>
        </row>
        <row r="13">
          <cell r="D13">
            <v>8953.4894337711739</v>
          </cell>
        </row>
        <row r="15">
          <cell r="D15">
            <v>7072.8166927080074</v>
          </cell>
        </row>
        <row r="16">
          <cell r="D16">
            <v>8622.4730460987812</v>
          </cell>
        </row>
        <row r="17">
          <cell r="D17">
            <v>14713.754527559055</v>
          </cell>
        </row>
        <row r="18">
          <cell r="D18">
            <v>8953.4894337711739</v>
          </cell>
        </row>
        <row r="19">
          <cell r="D19">
            <v>8778.5586133052639</v>
          </cell>
        </row>
      </sheetData>
      <sheetData sheetId="28">
        <row r="77">
          <cell r="X77">
            <v>3926664.1699660937</v>
          </cell>
        </row>
      </sheetData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D Opr + Type 5s"/>
      <sheetName val="Severity by Site RSD-NO"/>
      <sheetName val="Severity by Site RSD StateOpr"/>
      <sheetName val="Severity by Site RSD-LA"/>
      <sheetName val="raw data"/>
    </sheetNames>
    <sheetDataSet>
      <sheetData sheetId="0">
        <row r="6">
          <cell r="A6">
            <v>300001</v>
          </cell>
          <cell r="B6" t="str">
            <v>Pierre A. Capdau Learning Academy</v>
          </cell>
          <cell r="C6">
            <v>56</v>
          </cell>
          <cell r="D6">
            <v>9</v>
          </cell>
          <cell r="E6">
            <v>9</v>
          </cell>
          <cell r="F6">
            <v>6</v>
          </cell>
          <cell r="G6">
            <v>1</v>
          </cell>
          <cell r="H6">
            <v>1</v>
          </cell>
          <cell r="I6">
            <v>0</v>
          </cell>
          <cell r="J6">
            <v>6</v>
          </cell>
          <cell r="K6">
            <v>3</v>
          </cell>
          <cell r="L6">
            <v>17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1</v>
          </cell>
          <cell r="T6">
            <v>0</v>
          </cell>
          <cell r="U6">
            <v>0</v>
          </cell>
          <cell r="V6">
            <v>1</v>
          </cell>
        </row>
        <row r="7">
          <cell r="A7">
            <v>300002</v>
          </cell>
          <cell r="B7" t="str">
            <v>Nelson Elementary School</v>
          </cell>
          <cell r="C7">
            <v>80</v>
          </cell>
          <cell r="D7">
            <v>11</v>
          </cell>
          <cell r="E7">
            <v>11</v>
          </cell>
          <cell r="F7">
            <v>17</v>
          </cell>
          <cell r="G7">
            <v>2</v>
          </cell>
          <cell r="H7">
            <v>0</v>
          </cell>
          <cell r="I7">
            <v>0</v>
          </cell>
          <cell r="J7">
            <v>6</v>
          </cell>
          <cell r="K7">
            <v>2</v>
          </cell>
          <cell r="L7">
            <v>27</v>
          </cell>
          <cell r="M7">
            <v>3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3</v>
          </cell>
          <cell r="V7">
            <v>6</v>
          </cell>
        </row>
        <row r="8">
          <cell r="A8">
            <v>300003</v>
          </cell>
          <cell r="B8" t="str">
            <v>Lake Area New Tech Early College High School</v>
          </cell>
          <cell r="C8">
            <v>86</v>
          </cell>
          <cell r="D8">
            <v>2</v>
          </cell>
          <cell r="E8">
            <v>2</v>
          </cell>
          <cell r="F8">
            <v>21</v>
          </cell>
          <cell r="G8">
            <v>4</v>
          </cell>
          <cell r="H8">
            <v>1</v>
          </cell>
          <cell r="I8">
            <v>2</v>
          </cell>
          <cell r="J8">
            <v>8</v>
          </cell>
          <cell r="K8">
            <v>0</v>
          </cell>
          <cell r="L8">
            <v>36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4</v>
          </cell>
          <cell r="V8">
            <v>7</v>
          </cell>
        </row>
        <row r="9">
          <cell r="A9">
            <v>300004</v>
          </cell>
          <cell r="B9" t="str">
            <v>Gentilly Terrace Elementary School</v>
          </cell>
          <cell r="C9">
            <v>65</v>
          </cell>
          <cell r="D9">
            <v>8</v>
          </cell>
          <cell r="E9">
            <v>8</v>
          </cell>
          <cell r="F9">
            <v>7</v>
          </cell>
          <cell r="G9">
            <v>2</v>
          </cell>
          <cell r="H9">
            <v>3</v>
          </cell>
          <cell r="I9">
            <v>0</v>
          </cell>
          <cell r="J9">
            <v>5</v>
          </cell>
          <cell r="K9">
            <v>3</v>
          </cell>
          <cell r="L9">
            <v>20</v>
          </cell>
          <cell r="M9">
            <v>3</v>
          </cell>
          <cell r="N9">
            <v>0</v>
          </cell>
          <cell r="O9">
            <v>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6</v>
          </cell>
        </row>
        <row r="10">
          <cell r="A10">
            <v>360001</v>
          </cell>
          <cell r="B10" t="str">
            <v>The NET Charter High School</v>
          </cell>
          <cell r="C10">
            <v>31</v>
          </cell>
          <cell r="D10">
            <v>0</v>
          </cell>
          <cell r="E10">
            <v>0</v>
          </cell>
          <cell r="F10">
            <v>12</v>
          </cell>
          <cell r="G10">
            <v>4</v>
          </cell>
          <cell r="H10">
            <v>0</v>
          </cell>
          <cell r="I10">
            <v>0</v>
          </cell>
          <cell r="J10">
            <v>6</v>
          </cell>
          <cell r="K10">
            <v>0</v>
          </cell>
          <cell r="L10">
            <v>22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5</v>
          </cell>
          <cell r="V10">
            <v>5</v>
          </cell>
        </row>
        <row r="11">
          <cell r="A11">
            <v>361001</v>
          </cell>
          <cell r="B11" t="str">
            <v>Crescent Leadership Academy</v>
          </cell>
          <cell r="C11">
            <v>36</v>
          </cell>
          <cell r="D11">
            <v>0</v>
          </cell>
          <cell r="E11">
            <v>0</v>
          </cell>
          <cell r="F11">
            <v>17</v>
          </cell>
          <cell r="G11">
            <v>1</v>
          </cell>
          <cell r="H11">
            <v>0</v>
          </cell>
          <cell r="I11">
            <v>0</v>
          </cell>
          <cell r="J11">
            <v>8</v>
          </cell>
          <cell r="K11">
            <v>0</v>
          </cell>
          <cell r="L11">
            <v>26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0</v>
          </cell>
          <cell r="U11">
            <v>8</v>
          </cell>
          <cell r="V11">
            <v>9</v>
          </cell>
        </row>
        <row r="12">
          <cell r="A12">
            <v>362001</v>
          </cell>
          <cell r="B12" t="str">
            <v>John McDonogh High School</v>
          </cell>
          <cell r="C12">
            <v>43</v>
          </cell>
          <cell r="D12">
            <v>3</v>
          </cell>
          <cell r="E12">
            <v>3</v>
          </cell>
          <cell r="F12">
            <v>14</v>
          </cell>
          <cell r="G12">
            <v>5</v>
          </cell>
          <cell r="H12">
            <v>3</v>
          </cell>
          <cell r="I12">
            <v>1</v>
          </cell>
          <cell r="J12">
            <v>7</v>
          </cell>
          <cell r="K12">
            <v>0</v>
          </cell>
          <cell r="L12">
            <v>30</v>
          </cell>
          <cell r="M12">
            <v>0</v>
          </cell>
          <cell r="N12">
            <v>0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5</v>
          </cell>
          <cell r="V12">
            <v>6</v>
          </cell>
        </row>
        <row r="13">
          <cell r="A13">
            <v>363001</v>
          </cell>
          <cell r="B13" t="str">
            <v>Harriet Tubman Charter School</v>
          </cell>
          <cell r="C13">
            <v>71</v>
          </cell>
          <cell r="D13">
            <v>16</v>
          </cell>
          <cell r="E13">
            <v>16</v>
          </cell>
          <cell r="F13">
            <v>17</v>
          </cell>
          <cell r="G13">
            <v>9</v>
          </cell>
          <cell r="H13">
            <v>3</v>
          </cell>
          <cell r="I13">
            <v>1</v>
          </cell>
          <cell r="J13">
            <v>8</v>
          </cell>
          <cell r="K13">
            <v>4</v>
          </cell>
          <cell r="L13">
            <v>42</v>
          </cell>
          <cell r="M13">
            <v>4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1</v>
          </cell>
          <cell r="S13">
            <v>0</v>
          </cell>
          <cell r="T13">
            <v>0</v>
          </cell>
          <cell r="U13">
            <v>4</v>
          </cell>
          <cell r="V13">
            <v>9</v>
          </cell>
        </row>
        <row r="14">
          <cell r="A14">
            <v>363002</v>
          </cell>
          <cell r="B14" t="str">
            <v>Paul Habans Charter School</v>
          </cell>
          <cell r="C14">
            <v>51</v>
          </cell>
          <cell r="D14">
            <v>11</v>
          </cell>
          <cell r="E14">
            <v>11</v>
          </cell>
          <cell r="F14">
            <v>6</v>
          </cell>
          <cell r="G14">
            <v>3</v>
          </cell>
          <cell r="H14">
            <v>0</v>
          </cell>
          <cell r="I14">
            <v>0</v>
          </cell>
          <cell r="J14">
            <v>3</v>
          </cell>
          <cell r="K14">
            <v>8</v>
          </cell>
          <cell r="L14">
            <v>20</v>
          </cell>
          <cell r="M14">
            <v>8</v>
          </cell>
          <cell r="N14">
            <v>0</v>
          </cell>
          <cell r="O14">
            <v>2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11</v>
          </cell>
        </row>
        <row r="15">
          <cell r="A15">
            <v>364001</v>
          </cell>
          <cell r="B15" t="str">
            <v>Fannie C. Williams Charter School</v>
          </cell>
          <cell r="C15">
            <v>97</v>
          </cell>
          <cell r="D15">
            <v>23</v>
          </cell>
          <cell r="E15">
            <v>23</v>
          </cell>
          <cell r="F15">
            <v>21</v>
          </cell>
          <cell r="G15">
            <v>2</v>
          </cell>
          <cell r="H15">
            <v>1</v>
          </cell>
          <cell r="I15">
            <v>4</v>
          </cell>
          <cell r="J15">
            <v>9</v>
          </cell>
          <cell r="K15">
            <v>8</v>
          </cell>
          <cell r="L15">
            <v>45</v>
          </cell>
          <cell r="M15">
            <v>8</v>
          </cell>
          <cell r="N15">
            <v>0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2</v>
          </cell>
          <cell r="V15">
            <v>11</v>
          </cell>
        </row>
        <row r="16">
          <cell r="A16">
            <v>366001</v>
          </cell>
          <cell r="B16" t="str">
            <v>Lagniappe Academy of New Orleans</v>
          </cell>
          <cell r="C16">
            <v>7</v>
          </cell>
          <cell r="D16">
            <v>3</v>
          </cell>
          <cell r="E16">
            <v>3</v>
          </cell>
          <cell r="F16">
            <v>3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1</v>
          </cell>
          <cell r="L16">
            <v>4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A17">
            <v>367001</v>
          </cell>
          <cell r="B17" t="str">
            <v>Edgar P. Harney Spirit of Excellence Academy</v>
          </cell>
          <cell r="C17">
            <v>81</v>
          </cell>
          <cell r="D17">
            <v>16</v>
          </cell>
          <cell r="E17">
            <v>16</v>
          </cell>
          <cell r="F17">
            <v>13</v>
          </cell>
          <cell r="G17">
            <v>7</v>
          </cell>
          <cell r="H17">
            <v>2</v>
          </cell>
          <cell r="I17">
            <v>0</v>
          </cell>
          <cell r="J17">
            <v>9</v>
          </cell>
          <cell r="K17">
            <v>7</v>
          </cell>
          <cell r="L17">
            <v>38</v>
          </cell>
          <cell r="M17">
            <v>2</v>
          </cell>
          <cell r="N17">
            <v>0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</v>
          </cell>
        </row>
        <row r="18">
          <cell r="A18">
            <v>368001</v>
          </cell>
          <cell r="B18" t="str">
            <v>Morris Jeff Community School</v>
          </cell>
          <cell r="C18">
            <v>62</v>
          </cell>
          <cell r="D18">
            <v>14</v>
          </cell>
          <cell r="E18">
            <v>14</v>
          </cell>
          <cell r="F18">
            <v>6</v>
          </cell>
          <cell r="G18">
            <v>3</v>
          </cell>
          <cell r="H18">
            <v>0</v>
          </cell>
          <cell r="I18">
            <v>0</v>
          </cell>
          <cell r="J18">
            <v>4</v>
          </cell>
          <cell r="K18">
            <v>10</v>
          </cell>
          <cell r="L18">
            <v>23</v>
          </cell>
          <cell r="M18">
            <v>9</v>
          </cell>
          <cell r="N18">
            <v>0</v>
          </cell>
          <cell r="O18">
            <v>1</v>
          </cell>
          <cell r="P18">
            <v>1</v>
          </cell>
          <cell r="Q18">
            <v>1</v>
          </cell>
          <cell r="R18">
            <v>0</v>
          </cell>
          <cell r="S18">
            <v>1</v>
          </cell>
          <cell r="T18">
            <v>1</v>
          </cell>
          <cell r="U18">
            <v>2</v>
          </cell>
          <cell r="V18">
            <v>16</v>
          </cell>
        </row>
        <row r="19">
          <cell r="A19">
            <v>369001</v>
          </cell>
          <cell r="B19" t="str">
            <v>ReNew Cultural Arts Academy at Live Oak</v>
          </cell>
          <cell r="C19">
            <v>135</v>
          </cell>
          <cell r="D19">
            <v>18</v>
          </cell>
          <cell r="E19">
            <v>18</v>
          </cell>
          <cell r="F19">
            <v>25</v>
          </cell>
          <cell r="G19">
            <v>12</v>
          </cell>
          <cell r="H19">
            <v>3</v>
          </cell>
          <cell r="I19">
            <v>3</v>
          </cell>
          <cell r="J19">
            <v>21</v>
          </cell>
          <cell r="K19">
            <v>10</v>
          </cell>
          <cell r="L19">
            <v>74</v>
          </cell>
          <cell r="M19">
            <v>10</v>
          </cell>
          <cell r="N19">
            <v>0</v>
          </cell>
          <cell r="O19">
            <v>3</v>
          </cell>
          <cell r="P19">
            <v>0</v>
          </cell>
          <cell r="Q19">
            <v>1</v>
          </cell>
          <cell r="R19">
            <v>0</v>
          </cell>
          <cell r="S19">
            <v>0</v>
          </cell>
          <cell r="T19">
            <v>0</v>
          </cell>
          <cell r="U19">
            <v>5</v>
          </cell>
          <cell r="V19">
            <v>19</v>
          </cell>
        </row>
        <row r="20">
          <cell r="A20">
            <v>369002</v>
          </cell>
          <cell r="B20" t="str">
            <v>ReNew SciTech Academy at Laurel</v>
          </cell>
          <cell r="C20">
            <v>117</v>
          </cell>
          <cell r="D20">
            <v>21</v>
          </cell>
          <cell r="E20">
            <v>21</v>
          </cell>
          <cell r="F20">
            <v>20</v>
          </cell>
          <cell r="G20">
            <v>5</v>
          </cell>
          <cell r="H20">
            <v>2</v>
          </cell>
          <cell r="I20">
            <v>1</v>
          </cell>
          <cell r="J20">
            <v>14</v>
          </cell>
          <cell r="K20">
            <v>4</v>
          </cell>
          <cell r="L20">
            <v>46</v>
          </cell>
          <cell r="M20">
            <v>5</v>
          </cell>
          <cell r="N20">
            <v>0</v>
          </cell>
          <cell r="O20">
            <v>0</v>
          </cell>
          <cell r="P20">
            <v>0</v>
          </cell>
          <cell r="Q20">
            <v>1</v>
          </cell>
          <cell r="R20">
            <v>1</v>
          </cell>
          <cell r="S20">
            <v>1</v>
          </cell>
          <cell r="T20">
            <v>0</v>
          </cell>
          <cell r="U20">
            <v>19</v>
          </cell>
          <cell r="V20">
            <v>27</v>
          </cell>
        </row>
        <row r="21">
          <cell r="A21">
            <v>369003</v>
          </cell>
          <cell r="B21" t="str">
            <v>ReNew Dolores T. Aaron Elementary</v>
          </cell>
          <cell r="C21">
            <v>96</v>
          </cell>
          <cell r="D21">
            <v>28</v>
          </cell>
          <cell r="E21">
            <v>28</v>
          </cell>
          <cell r="F21">
            <v>19</v>
          </cell>
          <cell r="G21">
            <v>10</v>
          </cell>
          <cell r="H21">
            <v>1</v>
          </cell>
          <cell r="I21">
            <v>2</v>
          </cell>
          <cell r="J21">
            <v>12</v>
          </cell>
          <cell r="K21">
            <v>11</v>
          </cell>
          <cell r="L21">
            <v>55</v>
          </cell>
          <cell r="M21">
            <v>2</v>
          </cell>
          <cell r="N21">
            <v>0</v>
          </cell>
          <cell r="O21">
            <v>0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2</v>
          </cell>
          <cell r="V21">
            <v>5</v>
          </cell>
        </row>
        <row r="22">
          <cell r="A22">
            <v>369004</v>
          </cell>
          <cell r="B22" t="str">
            <v>ReNEW Accelerated High School #1</v>
          </cell>
          <cell r="C22">
            <v>26</v>
          </cell>
          <cell r="D22">
            <v>1</v>
          </cell>
          <cell r="E22">
            <v>1</v>
          </cell>
          <cell r="F22">
            <v>7</v>
          </cell>
          <cell r="G22">
            <v>3</v>
          </cell>
          <cell r="H22">
            <v>1</v>
          </cell>
          <cell r="I22">
            <v>1</v>
          </cell>
          <cell r="J22">
            <v>2</v>
          </cell>
          <cell r="K22">
            <v>0</v>
          </cell>
          <cell r="L22">
            <v>14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10</v>
          </cell>
          <cell r="V22">
            <v>10</v>
          </cell>
        </row>
        <row r="23">
          <cell r="A23">
            <v>369005</v>
          </cell>
          <cell r="B23" t="str">
            <v>ReNEW Accelerated High School #2</v>
          </cell>
          <cell r="C23">
            <v>29</v>
          </cell>
          <cell r="D23">
            <v>3</v>
          </cell>
          <cell r="E23">
            <v>3</v>
          </cell>
          <cell r="F23">
            <v>13</v>
          </cell>
          <cell r="G23">
            <v>5</v>
          </cell>
          <cell r="H23">
            <v>0</v>
          </cell>
          <cell r="I23">
            <v>0</v>
          </cell>
          <cell r="J23">
            <v>3</v>
          </cell>
          <cell r="K23">
            <v>0</v>
          </cell>
          <cell r="L23">
            <v>21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3</v>
          </cell>
          <cell r="V23">
            <v>3</v>
          </cell>
        </row>
        <row r="24">
          <cell r="A24">
            <v>369006</v>
          </cell>
          <cell r="B24" t="str">
            <v>ReNew Schaumburg Elementary</v>
          </cell>
          <cell r="C24">
            <v>154</v>
          </cell>
          <cell r="D24">
            <v>30</v>
          </cell>
          <cell r="E24">
            <v>30</v>
          </cell>
          <cell r="F24">
            <v>26</v>
          </cell>
          <cell r="G24">
            <v>7</v>
          </cell>
          <cell r="H24">
            <v>2</v>
          </cell>
          <cell r="I24">
            <v>3</v>
          </cell>
          <cell r="J24">
            <v>16</v>
          </cell>
          <cell r="K24">
            <v>17</v>
          </cell>
          <cell r="L24">
            <v>71</v>
          </cell>
          <cell r="M24">
            <v>13</v>
          </cell>
          <cell r="N24">
            <v>0</v>
          </cell>
          <cell r="O24">
            <v>2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8</v>
          </cell>
          <cell r="V24">
            <v>23</v>
          </cell>
        </row>
        <row r="25">
          <cell r="A25">
            <v>369700</v>
          </cell>
          <cell r="B25" t="str">
            <v>RSD-ReNEW-Reinventing Education, Inc. Central Ofc.</v>
          </cell>
          <cell r="C25">
            <v>11</v>
          </cell>
          <cell r="D25">
            <v>6</v>
          </cell>
          <cell r="E25">
            <v>6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</v>
          </cell>
          <cell r="K25">
            <v>2</v>
          </cell>
          <cell r="L25">
            <v>4</v>
          </cell>
          <cell r="M25">
            <v>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</v>
          </cell>
        </row>
        <row r="26">
          <cell r="A26">
            <v>373001</v>
          </cell>
          <cell r="B26" t="str">
            <v>Arise Academy</v>
          </cell>
          <cell r="C26">
            <v>69</v>
          </cell>
          <cell r="D26">
            <v>15</v>
          </cell>
          <cell r="E26">
            <v>15</v>
          </cell>
          <cell r="F26">
            <v>30</v>
          </cell>
          <cell r="G26">
            <v>2</v>
          </cell>
          <cell r="H26">
            <v>2</v>
          </cell>
          <cell r="I26">
            <v>1</v>
          </cell>
          <cell r="J26">
            <v>8</v>
          </cell>
          <cell r="K26">
            <v>7</v>
          </cell>
          <cell r="L26">
            <v>50</v>
          </cell>
          <cell r="M26">
            <v>1</v>
          </cell>
          <cell r="N26">
            <v>1</v>
          </cell>
          <cell r="O26">
            <v>0</v>
          </cell>
          <cell r="P26">
            <v>0</v>
          </cell>
          <cell r="Q26">
            <v>0</v>
          </cell>
          <cell r="R26">
            <v>1</v>
          </cell>
          <cell r="S26">
            <v>0</v>
          </cell>
          <cell r="T26">
            <v>0</v>
          </cell>
          <cell r="U26">
            <v>1</v>
          </cell>
          <cell r="V26">
            <v>4</v>
          </cell>
        </row>
        <row r="27">
          <cell r="A27">
            <v>373002</v>
          </cell>
          <cell r="B27" t="str">
            <v>Mildred Osborne Charter School</v>
          </cell>
          <cell r="C27">
            <v>44</v>
          </cell>
          <cell r="D27">
            <v>15</v>
          </cell>
          <cell r="E27">
            <v>15</v>
          </cell>
          <cell r="F27">
            <v>7</v>
          </cell>
          <cell r="G27">
            <v>1</v>
          </cell>
          <cell r="H27">
            <v>1</v>
          </cell>
          <cell r="I27">
            <v>0</v>
          </cell>
          <cell r="J27">
            <v>5</v>
          </cell>
          <cell r="K27">
            <v>9</v>
          </cell>
          <cell r="L27">
            <v>23</v>
          </cell>
          <cell r="M27">
            <v>1</v>
          </cell>
          <cell r="N27">
            <v>0</v>
          </cell>
          <cell r="O27">
            <v>2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2</v>
          </cell>
          <cell r="V27">
            <v>5</v>
          </cell>
        </row>
        <row r="28">
          <cell r="A28">
            <v>374001</v>
          </cell>
          <cell r="B28" t="str">
            <v>Success Preparatory Academy</v>
          </cell>
          <cell r="C28">
            <v>69</v>
          </cell>
          <cell r="D28">
            <v>10</v>
          </cell>
          <cell r="E28">
            <v>10</v>
          </cell>
          <cell r="F28">
            <v>29</v>
          </cell>
          <cell r="G28">
            <v>5</v>
          </cell>
          <cell r="H28">
            <v>3</v>
          </cell>
          <cell r="I28">
            <v>0</v>
          </cell>
          <cell r="J28">
            <v>7</v>
          </cell>
          <cell r="K28">
            <v>5</v>
          </cell>
          <cell r="L28">
            <v>49</v>
          </cell>
          <cell r="M28">
            <v>3</v>
          </cell>
          <cell r="N28">
            <v>0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9</v>
          </cell>
        </row>
        <row r="29">
          <cell r="A29">
            <v>381001</v>
          </cell>
          <cell r="B29" t="str">
            <v>Akili Academy of New Orleans</v>
          </cell>
          <cell r="C29">
            <v>66</v>
          </cell>
          <cell r="D29">
            <v>15</v>
          </cell>
          <cell r="E29">
            <v>15</v>
          </cell>
          <cell r="F29">
            <v>18</v>
          </cell>
          <cell r="G29">
            <v>2</v>
          </cell>
          <cell r="H29">
            <v>1</v>
          </cell>
          <cell r="I29">
            <v>0</v>
          </cell>
          <cell r="J29">
            <v>8</v>
          </cell>
          <cell r="K29">
            <v>6</v>
          </cell>
          <cell r="L29">
            <v>35</v>
          </cell>
          <cell r="M29">
            <v>3</v>
          </cell>
          <cell r="N29">
            <v>0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7</v>
          </cell>
          <cell r="V29">
            <v>11</v>
          </cell>
        </row>
        <row r="30">
          <cell r="A30">
            <v>382001</v>
          </cell>
          <cell r="B30" t="str">
            <v>Sci Academy</v>
          </cell>
          <cell r="C30">
            <v>89</v>
          </cell>
          <cell r="D30">
            <v>2</v>
          </cell>
          <cell r="E30">
            <v>2</v>
          </cell>
          <cell r="F30">
            <v>29</v>
          </cell>
          <cell r="G30">
            <v>10</v>
          </cell>
          <cell r="H30">
            <v>4</v>
          </cell>
          <cell r="I30">
            <v>0</v>
          </cell>
          <cell r="J30">
            <v>6</v>
          </cell>
          <cell r="K30">
            <v>0</v>
          </cell>
          <cell r="L30">
            <v>49</v>
          </cell>
          <cell r="M30">
            <v>5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0</v>
          </cell>
          <cell r="U30">
            <v>14</v>
          </cell>
          <cell r="V30">
            <v>20</v>
          </cell>
        </row>
        <row r="31">
          <cell r="A31">
            <v>382002</v>
          </cell>
          <cell r="B31" t="str">
            <v>G. W. Carver Collegiate Academy</v>
          </cell>
          <cell r="C31">
            <v>32</v>
          </cell>
          <cell r="D31">
            <v>3</v>
          </cell>
          <cell r="E31">
            <v>3</v>
          </cell>
          <cell r="F31">
            <v>9</v>
          </cell>
          <cell r="G31">
            <v>4</v>
          </cell>
          <cell r="H31">
            <v>1</v>
          </cell>
          <cell r="I31">
            <v>0</v>
          </cell>
          <cell r="J31">
            <v>6</v>
          </cell>
          <cell r="K31">
            <v>0</v>
          </cell>
          <cell r="L31">
            <v>20</v>
          </cell>
          <cell r="M31">
            <v>1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4</v>
          </cell>
          <cell r="V31">
            <v>5</v>
          </cell>
        </row>
        <row r="32">
          <cell r="A32">
            <v>382003</v>
          </cell>
          <cell r="B32" t="str">
            <v>G. W. Carver Preparatory Academy</v>
          </cell>
          <cell r="C32">
            <v>33</v>
          </cell>
          <cell r="D32">
            <v>1</v>
          </cell>
          <cell r="E32">
            <v>1</v>
          </cell>
          <cell r="F32">
            <v>11</v>
          </cell>
          <cell r="G32">
            <v>1</v>
          </cell>
          <cell r="H32">
            <v>3</v>
          </cell>
          <cell r="I32">
            <v>1</v>
          </cell>
          <cell r="J32">
            <v>4</v>
          </cell>
          <cell r="K32">
            <v>0</v>
          </cell>
          <cell r="L32">
            <v>20</v>
          </cell>
          <cell r="M32">
            <v>1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1</v>
          </cell>
          <cell r="S32">
            <v>0</v>
          </cell>
          <cell r="T32">
            <v>0</v>
          </cell>
          <cell r="U32">
            <v>2</v>
          </cell>
          <cell r="V32">
            <v>6</v>
          </cell>
        </row>
        <row r="33">
          <cell r="A33">
            <v>384001</v>
          </cell>
          <cell r="B33" t="str">
            <v>Miller-McCoy Academy for Mathematics and Business</v>
          </cell>
          <cell r="C33">
            <v>57</v>
          </cell>
          <cell r="D33">
            <v>3</v>
          </cell>
          <cell r="E33">
            <v>3</v>
          </cell>
          <cell r="F33">
            <v>21</v>
          </cell>
          <cell r="G33">
            <v>4</v>
          </cell>
          <cell r="H33">
            <v>3</v>
          </cell>
          <cell r="I33">
            <v>1</v>
          </cell>
          <cell r="J33">
            <v>7</v>
          </cell>
          <cell r="K33">
            <v>0</v>
          </cell>
          <cell r="L33">
            <v>36</v>
          </cell>
          <cell r="M33">
            <v>2</v>
          </cell>
          <cell r="N33">
            <v>0</v>
          </cell>
          <cell r="O33">
            <v>1</v>
          </cell>
          <cell r="P33">
            <v>1</v>
          </cell>
          <cell r="Q33">
            <v>0</v>
          </cell>
          <cell r="R33">
            <v>0</v>
          </cell>
          <cell r="S33">
            <v>1</v>
          </cell>
          <cell r="T33">
            <v>1</v>
          </cell>
          <cell r="U33">
            <v>5</v>
          </cell>
          <cell r="V33">
            <v>11</v>
          </cell>
        </row>
        <row r="34">
          <cell r="A34">
            <v>385001</v>
          </cell>
          <cell r="B34" t="str">
            <v>Sylvanie Williams College Prep</v>
          </cell>
          <cell r="C34">
            <v>42</v>
          </cell>
          <cell r="D34">
            <v>10</v>
          </cell>
          <cell r="E34">
            <v>10</v>
          </cell>
          <cell r="F34">
            <v>8</v>
          </cell>
          <cell r="G34">
            <v>7</v>
          </cell>
          <cell r="H34">
            <v>0</v>
          </cell>
          <cell r="I34">
            <v>0</v>
          </cell>
          <cell r="J34">
            <v>8</v>
          </cell>
          <cell r="K34">
            <v>5</v>
          </cell>
          <cell r="L34">
            <v>28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V34">
            <v>3</v>
          </cell>
        </row>
        <row r="35">
          <cell r="A35">
            <v>385002</v>
          </cell>
          <cell r="B35" t="str">
            <v>Cohen College Prep</v>
          </cell>
          <cell r="C35">
            <v>90</v>
          </cell>
          <cell r="D35">
            <v>5</v>
          </cell>
          <cell r="E35">
            <v>5</v>
          </cell>
          <cell r="F35">
            <v>29</v>
          </cell>
          <cell r="G35">
            <v>14</v>
          </cell>
          <cell r="H35">
            <v>7</v>
          </cell>
          <cell r="I35">
            <v>1</v>
          </cell>
          <cell r="J35">
            <v>7</v>
          </cell>
          <cell r="K35">
            <v>0</v>
          </cell>
          <cell r="L35">
            <v>58</v>
          </cell>
          <cell r="M35">
            <v>3</v>
          </cell>
          <cell r="N35">
            <v>2</v>
          </cell>
          <cell r="O35">
            <v>2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11</v>
          </cell>
          <cell r="V35">
            <v>19</v>
          </cell>
        </row>
        <row r="36">
          <cell r="A36">
            <v>385003</v>
          </cell>
          <cell r="B36" t="str">
            <v>Lawrence D. Crocker College Prep</v>
          </cell>
          <cell r="C36">
            <v>25</v>
          </cell>
          <cell r="D36">
            <v>10</v>
          </cell>
          <cell r="E36">
            <v>10</v>
          </cell>
          <cell r="F36">
            <v>4</v>
          </cell>
          <cell r="G36">
            <v>2</v>
          </cell>
          <cell r="H36">
            <v>0</v>
          </cell>
          <cell r="I36">
            <v>0</v>
          </cell>
          <cell r="J36">
            <v>3</v>
          </cell>
          <cell r="K36">
            <v>1</v>
          </cell>
          <cell r="L36">
            <v>10</v>
          </cell>
          <cell r="M36">
            <v>2</v>
          </cell>
          <cell r="N36">
            <v>0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U36">
            <v>0</v>
          </cell>
          <cell r="V36">
            <v>4</v>
          </cell>
        </row>
        <row r="37">
          <cell r="A37">
            <v>388001</v>
          </cell>
          <cell r="B37" t="str">
            <v>Andrew H. Wilson Charter School</v>
          </cell>
          <cell r="C37">
            <v>88</v>
          </cell>
          <cell r="D37">
            <v>16</v>
          </cell>
          <cell r="E37">
            <v>16</v>
          </cell>
          <cell r="F37">
            <v>24</v>
          </cell>
          <cell r="G37">
            <v>2</v>
          </cell>
          <cell r="H37">
            <v>1</v>
          </cell>
          <cell r="I37">
            <v>1</v>
          </cell>
          <cell r="J37">
            <v>16</v>
          </cell>
          <cell r="K37">
            <v>4</v>
          </cell>
          <cell r="L37">
            <v>48</v>
          </cell>
          <cell r="M37">
            <v>3</v>
          </cell>
          <cell r="N37">
            <v>0</v>
          </cell>
          <cell r="O37">
            <v>2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2</v>
          </cell>
          <cell r="V37">
            <v>7</v>
          </cell>
        </row>
        <row r="38">
          <cell r="A38">
            <v>390001</v>
          </cell>
          <cell r="B38" t="str">
            <v>James M. Singleton Charter School</v>
          </cell>
          <cell r="C38">
            <v>69</v>
          </cell>
          <cell r="D38">
            <v>12</v>
          </cell>
          <cell r="E38">
            <v>12</v>
          </cell>
          <cell r="F38">
            <v>11</v>
          </cell>
          <cell r="G38">
            <v>4</v>
          </cell>
          <cell r="H38">
            <v>1</v>
          </cell>
          <cell r="I38">
            <v>0</v>
          </cell>
          <cell r="J38">
            <v>8</v>
          </cell>
          <cell r="K38">
            <v>5</v>
          </cell>
          <cell r="L38">
            <v>29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</row>
        <row r="39">
          <cell r="A39">
            <v>391001</v>
          </cell>
          <cell r="B39" t="str">
            <v>Dr. Martin Luther King Charter School for Sci/Tech</v>
          </cell>
          <cell r="C39">
            <v>78</v>
          </cell>
          <cell r="D39">
            <v>22</v>
          </cell>
          <cell r="E39">
            <v>22</v>
          </cell>
          <cell r="F39">
            <v>29</v>
          </cell>
          <cell r="G39">
            <v>2</v>
          </cell>
          <cell r="H39">
            <v>0</v>
          </cell>
          <cell r="I39">
            <v>0</v>
          </cell>
          <cell r="J39">
            <v>1</v>
          </cell>
          <cell r="K39">
            <v>4</v>
          </cell>
          <cell r="L39">
            <v>36</v>
          </cell>
          <cell r="M39">
            <v>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</v>
          </cell>
          <cell r="V39">
            <v>2</v>
          </cell>
        </row>
        <row r="40">
          <cell r="A40">
            <v>391002</v>
          </cell>
          <cell r="B40" t="str">
            <v>Joseph A. Craig Charter School</v>
          </cell>
          <cell r="C40">
            <v>65</v>
          </cell>
          <cell r="D40">
            <v>6</v>
          </cell>
          <cell r="E40">
            <v>6</v>
          </cell>
          <cell r="F40">
            <v>17</v>
          </cell>
          <cell r="G40">
            <v>4</v>
          </cell>
          <cell r="H40">
            <v>2</v>
          </cell>
          <cell r="I40">
            <v>1</v>
          </cell>
          <cell r="J40">
            <v>4</v>
          </cell>
          <cell r="K40">
            <v>10</v>
          </cell>
          <cell r="L40">
            <v>38</v>
          </cell>
          <cell r="M40">
            <v>6</v>
          </cell>
          <cell r="N40">
            <v>0</v>
          </cell>
          <cell r="O40">
            <v>3</v>
          </cell>
          <cell r="P40">
            <v>0</v>
          </cell>
          <cell r="Q40">
            <v>0</v>
          </cell>
          <cell r="R40">
            <v>1</v>
          </cell>
          <cell r="S40">
            <v>0</v>
          </cell>
          <cell r="T40">
            <v>0</v>
          </cell>
          <cell r="U40">
            <v>0</v>
          </cell>
          <cell r="V40">
            <v>10</v>
          </cell>
        </row>
        <row r="41">
          <cell r="A41">
            <v>392001</v>
          </cell>
          <cell r="B41" t="str">
            <v>McDonogh City Park Academy</v>
          </cell>
          <cell r="C41">
            <v>52</v>
          </cell>
          <cell r="D41">
            <v>6</v>
          </cell>
          <cell r="E41">
            <v>6</v>
          </cell>
          <cell r="F41">
            <v>7</v>
          </cell>
          <cell r="G41">
            <v>3</v>
          </cell>
          <cell r="H41">
            <v>0</v>
          </cell>
          <cell r="I41">
            <v>0</v>
          </cell>
          <cell r="J41">
            <v>11</v>
          </cell>
          <cell r="K41">
            <v>3</v>
          </cell>
          <cell r="L41">
            <v>24</v>
          </cell>
          <cell r="M41">
            <v>2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0</v>
          </cell>
          <cell r="U41">
            <v>4</v>
          </cell>
          <cell r="V41">
            <v>7</v>
          </cell>
        </row>
        <row r="42">
          <cell r="A42">
            <v>393001</v>
          </cell>
          <cell r="B42" t="str">
            <v>Lafayette Academy</v>
          </cell>
          <cell r="C42">
            <v>107</v>
          </cell>
          <cell r="D42">
            <v>24</v>
          </cell>
          <cell r="E42">
            <v>24</v>
          </cell>
          <cell r="F42">
            <v>41</v>
          </cell>
          <cell r="G42">
            <v>7</v>
          </cell>
          <cell r="H42">
            <v>1</v>
          </cell>
          <cell r="I42">
            <v>1</v>
          </cell>
          <cell r="J42">
            <v>14</v>
          </cell>
          <cell r="K42">
            <v>6</v>
          </cell>
          <cell r="L42">
            <v>70</v>
          </cell>
          <cell r="M42">
            <v>3</v>
          </cell>
          <cell r="N42">
            <v>0</v>
          </cell>
          <cell r="O42">
            <v>1</v>
          </cell>
          <cell r="P42">
            <v>1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7</v>
          </cell>
        </row>
        <row r="43">
          <cell r="A43">
            <v>393002</v>
          </cell>
          <cell r="B43" t="str">
            <v>Esperanza Charter School</v>
          </cell>
          <cell r="C43">
            <v>90</v>
          </cell>
          <cell r="D43">
            <v>15</v>
          </cell>
          <cell r="E43">
            <v>15</v>
          </cell>
          <cell r="F43">
            <v>29</v>
          </cell>
          <cell r="G43">
            <v>3</v>
          </cell>
          <cell r="H43">
            <v>0</v>
          </cell>
          <cell r="I43">
            <v>0</v>
          </cell>
          <cell r="J43">
            <v>15</v>
          </cell>
          <cell r="K43">
            <v>5</v>
          </cell>
          <cell r="L43">
            <v>52</v>
          </cell>
          <cell r="M43">
            <v>3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4</v>
          </cell>
          <cell r="V43">
            <v>7</v>
          </cell>
        </row>
        <row r="44">
          <cell r="A44">
            <v>393003</v>
          </cell>
          <cell r="B44" t="str">
            <v>McDonogh 42 Charter School</v>
          </cell>
          <cell r="C44">
            <v>47</v>
          </cell>
          <cell r="D44">
            <v>8</v>
          </cell>
          <cell r="E44">
            <v>8</v>
          </cell>
          <cell r="F44">
            <v>11</v>
          </cell>
          <cell r="G44">
            <v>1</v>
          </cell>
          <cell r="H44">
            <v>1</v>
          </cell>
          <cell r="I44">
            <v>0</v>
          </cell>
          <cell r="J44">
            <v>11</v>
          </cell>
          <cell r="K44">
            <v>5</v>
          </cell>
          <cell r="L44">
            <v>29</v>
          </cell>
          <cell r="M44">
            <v>1</v>
          </cell>
          <cell r="N44">
            <v>0</v>
          </cell>
          <cell r="O44">
            <v>0</v>
          </cell>
          <cell r="P44">
            <v>1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7</v>
          </cell>
          <cell r="V44">
            <v>9</v>
          </cell>
        </row>
        <row r="45">
          <cell r="A45">
            <v>395001</v>
          </cell>
          <cell r="B45" t="str">
            <v>Martin Behrman Elementary School</v>
          </cell>
          <cell r="C45">
            <v>109</v>
          </cell>
          <cell r="D45">
            <v>15</v>
          </cell>
          <cell r="E45">
            <v>15</v>
          </cell>
          <cell r="F45">
            <v>15</v>
          </cell>
          <cell r="G45">
            <v>3</v>
          </cell>
          <cell r="H45">
            <v>0</v>
          </cell>
          <cell r="I45">
            <v>2</v>
          </cell>
          <cell r="J45">
            <v>9</v>
          </cell>
          <cell r="K45">
            <v>15</v>
          </cell>
          <cell r="L45">
            <v>44</v>
          </cell>
          <cell r="M45">
            <v>7</v>
          </cell>
          <cell r="N45">
            <v>0</v>
          </cell>
          <cell r="O45">
            <v>2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0</v>
          </cell>
          <cell r="U45">
            <v>2</v>
          </cell>
          <cell r="V45">
            <v>12</v>
          </cell>
        </row>
        <row r="46">
          <cell r="A46">
            <v>395002</v>
          </cell>
          <cell r="B46" t="str">
            <v>Dwight D. Eisenhower Elementary School</v>
          </cell>
          <cell r="C46">
            <v>110</v>
          </cell>
          <cell r="D46">
            <v>27</v>
          </cell>
          <cell r="E46">
            <v>27</v>
          </cell>
          <cell r="F46">
            <v>8</v>
          </cell>
          <cell r="G46">
            <v>9</v>
          </cell>
          <cell r="H46">
            <v>2</v>
          </cell>
          <cell r="I46">
            <v>1</v>
          </cell>
          <cell r="J46">
            <v>3</v>
          </cell>
          <cell r="K46">
            <v>5</v>
          </cell>
          <cell r="L46">
            <v>28</v>
          </cell>
          <cell r="M46">
            <v>16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0</v>
          </cell>
          <cell r="U46">
            <v>2</v>
          </cell>
          <cell r="V46">
            <v>19</v>
          </cell>
        </row>
        <row r="47">
          <cell r="A47">
            <v>395003</v>
          </cell>
          <cell r="B47" t="str">
            <v>William J. Fischer Elementary School</v>
          </cell>
          <cell r="C47">
            <v>80</v>
          </cell>
          <cell r="D47">
            <v>15</v>
          </cell>
          <cell r="E47">
            <v>15</v>
          </cell>
          <cell r="F47">
            <v>15</v>
          </cell>
          <cell r="G47">
            <v>16</v>
          </cell>
          <cell r="H47">
            <v>2</v>
          </cell>
          <cell r="I47">
            <v>0</v>
          </cell>
          <cell r="J47">
            <v>6</v>
          </cell>
          <cell r="K47">
            <v>4</v>
          </cell>
          <cell r="L47">
            <v>43</v>
          </cell>
          <cell r="M47">
            <v>5</v>
          </cell>
          <cell r="N47">
            <v>0</v>
          </cell>
          <cell r="O47">
            <v>1</v>
          </cell>
          <cell r="P47">
            <v>1</v>
          </cell>
          <cell r="Q47">
            <v>0</v>
          </cell>
          <cell r="R47">
            <v>1</v>
          </cell>
          <cell r="S47">
            <v>0</v>
          </cell>
          <cell r="T47">
            <v>0</v>
          </cell>
          <cell r="U47">
            <v>3</v>
          </cell>
          <cell r="V47">
            <v>11</v>
          </cell>
        </row>
        <row r="48">
          <cell r="A48">
            <v>395004</v>
          </cell>
          <cell r="B48" t="str">
            <v>McDonogh #32 Elementary School</v>
          </cell>
          <cell r="C48">
            <v>69</v>
          </cell>
          <cell r="D48">
            <v>13</v>
          </cell>
          <cell r="E48">
            <v>13</v>
          </cell>
          <cell r="F48">
            <v>12</v>
          </cell>
          <cell r="G48">
            <v>9</v>
          </cell>
          <cell r="H48">
            <v>0</v>
          </cell>
          <cell r="I48">
            <v>0</v>
          </cell>
          <cell r="J48">
            <v>6</v>
          </cell>
          <cell r="K48">
            <v>1</v>
          </cell>
          <cell r="L48">
            <v>28</v>
          </cell>
          <cell r="M48">
            <v>4</v>
          </cell>
          <cell r="N48">
            <v>0</v>
          </cell>
          <cell r="O48">
            <v>1</v>
          </cell>
          <cell r="P48">
            <v>0</v>
          </cell>
          <cell r="Q48">
            <v>1</v>
          </cell>
          <cell r="R48">
            <v>0</v>
          </cell>
          <cell r="S48">
            <v>0</v>
          </cell>
          <cell r="T48">
            <v>0</v>
          </cell>
          <cell r="U48">
            <v>3</v>
          </cell>
          <cell r="V48">
            <v>9</v>
          </cell>
        </row>
        <row r="49">
          <cell r="A49">
            <v>395005</v>
          </cell>
          <cell r="B49" t="str">
            <v>Lord Beaconsfield Landry-Oliver Perry Walker High</v>
          </cell>
          <cell r="C49">
            <v>203</v>
          </cell>
          <cell r="D49">
            <v>11</v>
          </cell>
          <cell r="E49">
            <v>11</v>
          </cell>
          <cell r="F49">
            <v>55</v>
          </cell>
          <cell r="G49">
            <v>23</v>
          </cell>
          <cell r="H49">
            <v>7</v>
          </cell>
          <cell r="I49">
            <v>4</v>
          </cell>
          <cell r="J49">
            <v>23</v>
          </cell>
          <cell r="K49">
            <v>0</v>
          </cell>
          <cell r="L49">
            <v>112</v>
          </cell>
          <cell r="M49">
            <v>4</v>
          </cell>
          <cell r="N49">
            <v>0</v>
          </cell>
          <cell r="O49">
            <v>2</v>
          </cell>
          <cell r="P49">
            <v>0</v>
          </cell>
          <cell r="Q49">
            <v>0</v>
          </cell>
          <cell r="R49">
            <v>2</v>
          </cell>
          <cell r="S49">
            <v>0</v>
          </cell>
          <cell r="T49">
            <v>0</v>
          </cell>
          <cell r="U49">
            <v>16</v>
          </cell>
          <cell r="V49">
            <v>24</v>
          </cell>
        </row>
        <row r="50">
          <cell r="A50">
            <v>395007</v>
          </cell>
          <cell r="B50" t="str">
            <v>Algiers Technology Academy</v>
          </cell>
          <cell r="C50">
            <v>48</v>
          </cell>
          <cell r="D50">
            <v>1</v>
          </cell>
          <cell r="E50">
            <v>1</v>
          </cell>
          <cell r="F50">
            <v>14</v>
          </cell>
          <cell r="G50">
            <v>9</v>
          </cell>
          <cell r="H50">
            <v>0</v>
          </cell>
          <cell r="I50">
            <v>0</v>
          </cell>
          <cell r="J50">
            <v>5</v>
          </cell>
          <cell r="K50">
            <v>0</v>
          </cell>
          <cell r="L50">
            <v>28</v>
          </cell>
          <cell r="M50">
            <v>2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5</v>
          </cell>
          <cell r="V50">
            <v>7</v>
          </cell>
        </row>
        <row r="51">
          <cell r="A51">
            <v>397001</v>
          </cell>
          <cell r="B51" t="str">
            <v>Sophie B. Wright Learning Academy</v>
          </cell>
          <cell r="C51">
            <v>56</v>
          </cell>
          <cell r="D51">
            <v>5</v>
          </cell>
          <cell r="E51">
            <v>5</v>
          </cell>
          <cell r="F51">
            <v>19</v>
          </cell>
          <cell r="G51">
            <v>4</v>
          </cell>
          <cell r="H51">
            <v>1</v>
          </cell>
          <cell r="I51">
            <v>0</v>
          </cell>
          <cell r="J51">
            <v>6</v>
          </cell>
          <cell r="K51">
            <v>0</v>
          </cell>
          <cell r="L51">
            <v>30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1</v>
          </cell>
          <cell r="R51">
            <v>0</v>
          </cell>
          <cell r="S51">
            <v>1</v>
          </cell>
          <cell r="T51">
            <v>0</v>
          </cell>
          <cell r="U51">
            <v>4</v>
          </cell>
          <cell r="V51">
            <v>6</v>
          </cell>
        </row>
        <row r="52">
          <cell r="A52">
            <v>398001</v>
          </cell>
          <cell r="B52" t="str">
            <v>KIPP Believe College Prep (Phillips)</v>
          </cell>
          <cell r="C52">
            <v>68</v>
          </cell>
          <cell r="D52">
            <v>10</v>
          </cell>
          <cell r="E52">
            <v>10</v>
          </cell>
          <cell r="F52">
            <v>17</v>
          </cell>
          <cell r="G52">
            <v>4</v>
          </cell>
          <cell r="H52">
            <v>1</v>
          </cell>
          <cell r="I52">
            <v>0</v>
          </cell>
          <cell r="J52">
            <v>10</v>
          </cell>
          <cell r="K52">
            <v>6</v>
          </cell>
          <cell r="L52">
            <v>38</v>
          </cell>
          <cell r="M52">
            <v>11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</v>
          </cell>
          <cell r="S52">
            <v>0</v>
          </cell>
          <cell r="T52">
            <v>0</v>
          </cell>
          <cell r="U52">
            <v>8</v>
          </cell>
          <cell r="V52">
            <v>20</v>
          </cell>
        </row>
        <row r="53">
          <cell r="A53">
            <v>398002</v>
          </cell>
          <cell r="B53" t="str">
            <v>KIPP McDonogh 15 School for the Creative Arts</v>
          </cell>
          <cell r="C53">
            <v>139</v>
          </cell>
          <cell r="D53">
            <v>13</v>
          </cell>
          <cell r="E53">
            <v>13</v>
          </cell>
          <cell r="F53">
            <v>37</v>
          </cell>
          <cell r="G53">
            <v>10</v>
          </cell>
          <cell r="H53">
            <v>1</v>
          </cell>
          <cell r="I53">
            <v>3</v>
          </cell>
          <cell r="J53">
            <v>23</v>
          </cell>
          <cell r="K53">
            <v>6</v>
          </cell>
          <cell r="L53">
            <v>80</v>
          </cell>
          <cell r="M53">
            <v>11</v>
          </cell>
          <cell r="N53">
            <v>0</v>
          </cell>
          <cell r="O53">
            <v>2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</v>
          </cell>
          <cell r="U53">
            <v>13</v>
          </cell>
          <cell r="V53">
            <v>27</v>
          </cell>
        </row>
        <row r="54">
          <cell r="A54">
            <v>398003</v>
          </cell>
          <cell r="B54" t="str">
            <v>KIPP Central City Academy</v>
          </cell>
          <cell r="C54">
            <v>69</v>
          </cell>
          <cell r="D54">
            <v>12</v>
          </cell>
          <cell r="E54">
            <v>12</v>
          </cell>
          <cell r="F54">
            <v>31</v>
          </cell>
          <cell r="G54">
            <v>9</v>
          </cell>
          <cell r="H54">
            <v>0</v>
          </cell>
          <cell r="I54">
            <v>2</v>
          </cell>
          <cell r="J54">
            <v>11</v>
          </cell>
          <cell r="K54">
            <v>0</v>
          </cell>
          <cell r="L54">
            <v>53</v>
          </cell>
          <cell r="M54">
            <v>2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2</v>
          </cell>
          <cell r="V54">
            <v>4</v>
          </cell>
        </row>
        <row r="55">
          <cell r="A55">
            <v>398004</v>
          </cell>
          <cell r="B55" t="str">
            <v>KIPP Central City Primary</v>
          </cell>
          <cell r="C55">
            <v>47</v>
          </cell>
          <cell r="D55">
            <v>6</v>
          </cell>
          <cell r="E55">
            <v>6</v>
          </cell>
          <cell r="F55">
            <v>14</v>
          </cell>
          <cell r="G55">
            <v>5</v>
          </cell>
          <cell r="H55">
            <v>0</v>
          </cell>
          <cell r="I55">
            <v>0</v>
          </cell>
          <cell r="J55">
            <v>8</v>
          </cell>
          <cell r="K55">
            <v>4</v>
          </cell>
          <cell r="L55">
            <v>31</v>
          </cell>
          <cell r="M55">
            <v>2</v>
          </cell>
          <cell r="N55">
            <v>0</v>
          </cell>
          <cell r="O55">
            <v>0</v>
          </cell>
          <cell r="P55">
            <v>1</v>
          </cell>
          <cell r="Q55">
            <v>1</v>
          </cell>
          <cell r="R55">
            <v>1</v>
          </cell>
          <cell r="S55">
            <v>0</v>
          </cell>
          <cell r="T55">
            <v>0</v>
          </cell>
          <cell r="U55">
            <v>5</v>
          </cell>
          <cell r="V55">
            <v>10</v>
          </cell>
        </row>
        <row r="56">
          <cell r="A56">
            <v>398005</v>
          </cell>
          <cell r="B56" t="str">
            <v>KIPP Renaissance High School</v>
          </cell>
          <cell r="C56">
            <v>71</v>
          </cell>
          <cell r="D56">
            <v>5</v>
          </cell>
          <cell r="E56">
            <v>5</v>
          </cell>
          <cell r="F56">
            <v>38</v>
          </cell>
          <cell r="G56">
            <v>12</v>
          </cell>
          <cell r="H56">
            <v>1</v>
          </cell>
          <cell r="I56">
            <v>0</v>
          </cell>
          <cell r="J56">
            <v>8</v>
          </cell>
          <cell r="K56">
            <v>0</v>
          </cell>
          <cell r="L56">
            <v>59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2</v>
          </cell>
          <cell r="T56">
            <v>0</v>
          </cell>
          <cell r="U56">
            <v>5</v>
          </cell>
          <cell r="V56">
            <v>7</v>
          </cell>
        </row>
        <row r="57">
          <cell r="A57">
            <v>398006</v>
          </cell>
          <cell r="B57" t="str">
            <v>KIPP New Orleans Leadership Academy</v>
          </cell>
          <cell r="C57">
            <v>108</v>
          </cell>
          <cell r="D57">
            <v>17</v>
          </cell>
          <cell r="E57">
            <v>17</v>
          </cell>
          <cell r="F57">
            <v>26</v>
          </cell>
          <cell r="G57">
            <v>14</v>
          </cell>
          <cell r="H57">
            <v>3</v>
          </cell>
          <cell r="I57">
            <v>2</v>
          </cell>
          <cell r="J57">
            <v>11</v>
          </cell>
          <cell r="K57">
            <v>15</v>
          </cell>
          <cell r="L57">
            <v>71</v>
          </cell>
          <cell r="M57">
            <v>6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14</v>
          </cell>
          <cell r="V57">
            <v>20</v>
          </cell>
        </row>
        <row r="58">
          <cell r="A58">
            <v>399001</v>
          </cell>
          <cell r="B58" t="str">
            <v>Samuel J. Green Charter School</v>
          </cell>
          <cell r="C58">
            <v>112</v>
          </cell>
          <cell r="D58">
            <v>19</v>
          </cell>
          <cell r="E58">
            <v>19</v>
          </cell>
          <cell r="F58">
            <v>44</v>
          </cell>
          <cell r="G58">
            <v>5</v>
          </cell>
          <cell r="H58">
            <v>1</v>
          </cell>
          <cell r="I58">
            <v>0</v>
          </cell>
          <cell r="J58">
            <v>26</v>
          </cell>
          <cell r="K58">
            <v>5</v>
          </cell>
          <cell r="L58">
            <v>81</v>
          </cell>
          <cell r="M58">
            <v>2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7</v>
          </cell>
          <cell r="V58">
            <v>9</v>
          </cell>
        </row>
        <row r="59">
          <cell r="A59">
            <v>399002</v>
          </cell>
          <cell r="B59" t="str">
            <v>Arthur Ashe Charter School</v>
          </cell>
          <cell r="C59">
            <v>105</v>
          </cell>
          <cell r="D59">
            <v>26</v>
          </cell>
          <cell r="E59">
            <v>26</v>
          </cell>
          <cell r="F59">
            <v>32</v>
          </cell>
          <cell r="G59">
            <v>2</v>
          </cell>
          <cell r="H59">
            <v>1</v>
          </cell>
          <cell r="I59">
            <v>1</v>
          </cell>
          <cell r="J59">
            <v>23</v>
          </cell>
          <cell r="K59">
            <v>4</v>
          </cell>
          <cell r="L59">
            <v>63</v>
          </cell>
          <cell r="M59">
            <v>2</v>
          </cell>
          <cell r="N59">
            <v>2</v>
          </cell>
          <cell r="O59">
            <v>2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2</v>
          </cell>
          <cell r="V59">
            <v>10</v>
          </cell>
        </row>
        <row r="60">
          <cell r="A60">
            <v>399003</v>
          </cell>
          <cell r="B60" t="str">
            <v>Joseph S. Clark Preparatory High School</v>
          </cell>
          <cell r="C60">
            <v>97</v>
          </cell>
          <cell r="D60">
            <v>9</v>
          </cell>
          <cell r="E60">
            <v>9</v>
          </cell>
          <cell r="F60">
            <v>45</v>
          </cell>
          <cell r="G60">
            <v>9</v>
          </cell>
          <cell r="H60">
            <v>2</v>
          </cell>
          <cell r="I60">
            <v>1</v>
          </cell>
          <cell r="J60">
            <v>10</v>
          </cell>
          <cell r="K60">
            <v>0</v>
          </cell>
          <cell r="L60">
            <v>67</v>
          </cell>
          <cell r="M60">
            <v>3</v>
          </cell>
          <cell r="N60">
            <v>2</v>
          </cell>
          <cell r="O60">
            <v>3</v>
          </cell>
          <cell r="P60">
            <v>0</v>
          </cell>
          <cell r="Q60">
            <v>0</v>
          </cell>
          <cell r="R60">
            <v>1</v>
          </cell>
          <cell r="S60">
            <v>0</v>
          </cell>
          <cell r="T60">
            <v>0</v>
          </cell>
          <cell r="U60">
            <v>9</v>
          </cell>
          <cell r="V60">
            <v>18</v>
          </cell>
        </row>
        <row r="61">
          <cell r="A61">
            <v>399004</v>
          </cell>
          <cell r="B61" t="str">
            <v>John Dibert Community School</v>
          </cell>
          <cell r="C61">
            <v>104</v>
          </cell>
          <cell r="D61">
            <v>22</v>
          </cell>
          <cell r="E61">
            <v>22</v>
          </cell>
          <cell r="F61">
            <v>39</v>
          </cell>
          <cell r="G61">
            <v>3</v>
          </cell>
          <cell r="H61">
            <v>0</v>
          </cell>
          <cell r="I61">
            <v>0</v>
          </cell>
          <cell r="J61">
            <v>11</v>
          </cell>
          <cell r="K61">
            <v>2</v>
          </cell>
          <cell r="L61">
            <v>55</v>
          </cell>
          <cell r="M61">
            <v>7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0</v>
          </cell>
          <cell r="T61">
            <v>0</v>
          </cell>
          <cell r="U61">
            <v>3</v>
          </cell>
          <cell r="V61">
            <v>11</v>
          </cell>
        </row>
        <row r="62">
          <cell r="A62">
            <v>399005</v>
          </cell>
          <cell r="B62" t="str">
            <v>Langston Hughes Charter Academy</v>
          </cell>
          <cell r="C62">
            <v>102</v>
          </cell>
          <cell r="D62">
            <v>20</v>
          </cell>
          <cell r="E62">
            <v>20</v>
          </cell>
          <cell r="F62">
            <v>37</v>
          </cell>
          <cell r="G62">
            <v>3</v>
          </cell>
          <cell r="H62">
            <v>1</v>
          </cell>
          <cell r="I62">
            <v>0</v>
          </cell>
          <cell r="J62">
            <v>14</v>
          </cell>
          <cell r="K62">
            <v>4</v>
          </cell>
          <cell r="L62">
            <v>59</v>
          </cell>
          <cell r="M62">
            <v>9</v>
          </cell>
          <cell r="N62">
            <v>0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</v>
          </cell>
          <cell r="U62">
            <v>6</v>
          </cell>
          <cell r="V62">
            <v>17</v>
          </cell>
        </row>
        <row r="63">
          <cell r="A63" t="str">
            <v>3A5001</v>
          </cell>
          <cell r="B63" t="str">
            <v>Mary D. Coghill Charter School</v>
          </cell>
          <cell r="C63">
            <v>58</v>
          </cell>
          <cell r="D63">
            <v>20</v>
          </cell>
          <cell r="E63">
            <v>20</v>
          </cell>
          <cell r="F63">
            <v>5</v>
          </cell>
          <cell r="G63">
            <v>0</v>
          </cell>
          <cell r="H63">
            <v>0</v>
          </cell>
          <cell r="I63">
            <v>6</v>
          </cell>
          <cell r="J63">
            <v>9</v>
          </cell>
          <cell r="K63">
            <v>5</v>
          </cell>
          <cell r="L63">
            <v>25</v>
          </cell>
          <cell r="M63">
            <v>2</v>
          </cell>
          <cell r="N63">
            <v>0</v>
          </cell>
          <cell r="O63">
            <v>3</v>
          </cell>
          <cell r="P63">
            <v>0</v>
          </cell>
          <cell r="Q63">
            <v>1</v>
          </cell>
          <cell r="R63">
            <v>1</v>
          </cell>
          <cell r="S63">
            <v>0</v>
          </cell>
          <cell r="T63">
            <v>0</v>
          </cell>
          <cell r="U63">
            <v>1</v>
          </cell>
          <cell r="V63">
            <v>8</v>
          </cell>
        </row>
        <row r="65">
          <cell r="C65">
            <v>4301</v>
          </cell>
          <cell r="D65">
            <v>687</v>
          </cell>
          <cell r="E65">
            <v>687</v>
          </cell>
          <cell r="F65">
            <v>1137</v>
          </cell>
          <cell r="G65">
            <v>312</v>
          </cell>
          <cell r="H65">
            <v>77</v>
          </cell>
          <cell r="I65">
            <v>47</v>
          </cell>
          <cell r="J65">
            <v>520</v>
          </cell>
          <cell r="K65">
            <v>241</v>
          </cell>
          <cell r="L65">
            <v>2334</v>
          </cell>
          <cell r="M65">
            <v>206</v>
          </cell>
          <cell r="N65">
            <v>8</v>
          </cell>
          <cell r="O65">
            <v>46</v>
          </cell>
          <cell r="P65">
            <v>8</v>
          </cell>
          <cell r="Q65">
            <v>9</v>
          </cell>
          <cell r="R65">
            <v>13</v>
          </cell>
          <cell r="S65">
            <v>17</v>
          </cell>
          <cell r="T65">
            <v>3</v>
          </cell>
          <cell r="U65">
            <v>265</v>
          </cell>
          <cell r="V65">
            <v>575</v>
          </cell>
        </row>
        <row r="66">
          <cell r="L66">
            <v>2334</v>
          </cell>
          <cell r="V66">
            <v>575</v>
          </cell>
        </row>
        <row r="68">
          <cell r="D68" t="str">
            <v>Code 28</v>
          </cell>
          <cell r="F68" t="str">
            <v>Code 11</v>
          </cell>
          <cell r="G68" t="str">
            <v xml:space="preserve">Code 12 </v>
          </cell>
          <cell r="H68" t="str">
            <v>Code 13</v>
          </cell>
          <cell r="I68" t="str">
            <v xml:space="preserve">Code 18 </v>
          </cell>
          <cell r="J68" t="str">
            <v xml:space="preserve">Code 19 </v>
          </cell>
          <cell r="K68" t="str">
            <v xml:space="preserve">Code 7 </v>
          </cell>
          <cell r="M68" t="str">
            <v xml:space="preserve">Code 1 </v>
          </cell>
          <cell r="N68" t="str">
            <v xml:space="preserve">Code 14 </v>
          </cell>
          <cell r="O68" t="str">
            <v>Code 16</v>
          </cell>
          <cell r="P68" t="str">
            <v xml:space="preserve">Code 2 </v>
          </cell>
          <cell r="Q68" t="str">
            <v>Code 20</v>
          </cell>
          <cell r="R68" t="str">
            <v>Code 25</v>
          </cell>
          <cell r="S68" t="str">
            <v>Code 8</v>
          </cell>
          <cell r="T68" t="str">
            <v xml:space="preserve">Code 3 </v>
          </cell>
          <cell r="U68" t="str">
            <v xml:space="preserve">Code 5 </v>
          </cell>
        </row>
        <row r="69">
          <cell r="A69">
            <v>396003</v>
          </cell>
          <cell r="B69" t="str">
            <v>Benjamin Banneker Elementary School</v>
          </cell>
          <cell r="C69">
            <v>81</v>
          </cell>
          <cell r="D69">
            <v>5</v>
          </cell>
          <cell r="E69">
            <v>5</v>
          </cell>
          <cell r="F69">
            <v>11</v>
          </cell>
          <cell r="G69">
            <v>4</v>
          </cell>
          <cell r="H69">
            <v>1</v>
          </cell>
          <cell r="I69">
            <v>4</v>
          </cell>
          <cell r="J69">
            <v>4</v>
          </cell>
          <cell r="K69">
            <v>3</v>
          </cell>
          <cell r="L69">
            <v>27</v>
          </cell>
          <cell r="M69">
            <v>3</v>
          </cell>
          <cell r="N69">
            <v>1</v>
          </cell>
          <cell r="O69">
            <v>1</v>
          </cell>
          <cell r="P69">
            <v>0</v>
          </cell>
          <cell r="Q69">
            <v>1</v>
          </cell>
          <cell r="R69">
            <v>0</v>
          </cell>
          <cell r="S69">
            <v>0</v>
          </cell>
          <cell r="T69">
            <v>2</v>
          </cell>
          <cell r="U69">
            <v>4</v>
          </cell>
          <cell r="V69">
            <v>12</v>
          </cell>
        </row>
        <row r="70">
          <cell r="A70">
            <v>396004</v>
          </cell>
          <cell r="B70" t="str">
            <v>Walter L. Cohen High School</v>
          </cell>
          <cell r="C70">
            <v>15</v>
          </cell>
          <cell r="D70">
            <v>1</v>
          </cell>
          <cell r="E70">
            <v>1</v>
          </cell>
          <cell r="F70">
            <v>4</v>
          </cell>
          <cell r="G70">
            <v>1</v>
          </cell>
          <cell r="H70">
            <v>2</v>
          </cell>
          <cell r="I70">
            <v>0</v>
          </cell>
          <cell r="J70">
            <v>1</v>
          </cell>
          <cell r="K70">
            <v>0</v>
          </cell>
          <cell r="L70">
            <v>8</v>
          </cell>
          <cell r="M70">
            <v>2</v>
          </cell>
          <cell r="N70">
            <v>0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3</v>
          </cell>
        </row>
        <row r="71">
          <cell r="A71">
            <v>396017</v>
          </cell>
          <cell r="B71" t="str">
            <v>Sarah Towles Reed Senior High School</v>
          </cell>
          <cell r="C71">
            <v>37</v>
          </cell>
          <cell r="D71">
            <v>0</v>
          </cell>
          <cell r="E71">
            <v>0</v>
          </cell>
          <cell r="F71">
            <v>6</v>
          </cell>
          <cell r="G71">
            <v>5</v>
          </cell>
          <cell r="H71">
            <v>2</v>
          </cell>
          <cell r="I71">
            <v>2</v>
          </cell>
          <cell r="J71">
            <v>4</v>
          </cell>
          <cell r="K71">
            <v>0</v>
          </cell>
          <cell r="L71">
            <v>19</v>
          </cell>
          <cell r="M71">
            <v>0</v>
          </cell>
          <cell r="N71">
            <v>3</v>
          </cell>
          <cell r="O71">
            <v>2</v>
          </cell>
          <cell r="P71">
            <v>0</v>
          </cell>
          <cell r="Q71">
            <v>0</v>
          </cell>
          <cell r="R71">
            <v>0</v>
          </cell>
          <cell r="S71">
            <v>1</v>
          </cell>
          <cell r="T71">
            <v>0</v>
          </cell>
          <cell r="U71">
            <v>2</v>
          </cell>
          <cell r="V71">
            <v>8</v>
          </cell>
        </row>
        <row r="72">
          <cell r="A72">
            <v>396019</v>
          </cell>
          <cell r="B72" t="str">
            <v>A.P. Tureaud Elementary School</v>
          </cell>
          <cell r="C72">
            <v>50</v>
          </cell>
          <cell r="D72">
            <v>5</v>
          </cell>
          <cell r="E72">
            <v>5</v>
          </cell>
          <cell r="F72">
            <v>3</v>
          </cell>
          <cell r="G72">
            <v>2</v>
          </cell>
          <cell r="H72">
            <v>0</v>
          </cell>
          <cell r="I72">
            <v>0</v>
          </cell>
          <cell r="J72">
            <v>2</v>
          </cell>
          <cell r="K72">
            <v>4</v>
          </cell>
          <cell r="L72">
            <v>11</v>
          </cell>
          <cell r="M72">
            <v>2</v>
          </cell>
          <cell r="N72">
            <v>0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3</v>
          </cell>
        </row>
        <row r="73">
          <cell r="A73">
            <v>396026</v>
          </cell>
          <cell r="B73" t="str">
            <v>G.W. Carver High School</v>
          </cell>
          <cell r="C73">
            <v>23</v>
          </cell>
          <cell r="D73">
            <v>1</v>
          </cell>
          <cell r="E73">
            <v>1</v>
          </cell>
          <cell r="F73">
            <v>6</v>
          </cell>
          <cell r="G73">
            <v>5</v>
          </cell>
          <cell r="H73">
            <v>0</v>
          </cell>
          <cell r="I73">
            <v>0</v>
          </cell>
          <cell r="J73">
            <v>2</v>
          </cell>
          <cell r="K73">
            <v>0</v>
          </cell>
          <cell r="L73">
            <v>13</v>
          </cell>
          <cell r="M73">
            <v>0</v>
          </cell>
          <cell r="N73">
            <v>0</v>
          </cell>
          <cell r="O73">
            <v>3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3</v>
          </cell>
        </row>
        <row r="74">
          <cell r="A74">
            <v>396029</v>
          </cell>
          <cell r="B74" t="str">
            <v>F.W. Gregory Elementary School</v>
          </cell>
          <cell r="C74">
            <v>44</v>
          </cell>
          <cell r="D74">
            <v>2</v>
          </cell>
          <cell r="E74">
            <v>2</v>
          </cell>
          <cell r="F74">
            <v>0</v>
          </cell>
          <cell r="G74">
            <v>2</v>
          </cell>
          <cell r="H74">
            <v>0</v>
          </cell>
          <cell r="I74">
            <v>1</v>
          </cell>
          <cell r="J74">
            <v>6</v>
          </cell>
          <cell r="K74">
            <v>26</v>
          </cell>
          <cell r="L74">
            <v>35</v>
          </cell>
          <cell r="M74">
            <v>6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7</v>
          </cell>
        </row>
        <row r="75">
          <cell r="A75">
            <v>396700</v>
          </cell>
          <cell r="B75" t="str">
            <v>Recovery School District-LDE Central Office</v>
          </cell>
          <cell r="C75">
            <v>149</v>
          </cell>
          <cell r="D75">
            <v>55</v>
          </cell>
          <cell r="E75">
            <v>55</v>
          </cell>
          <cell r="F75">
            <v>0</v>
          </cell>
          <cell r="G75">
            <v>4</v>
          </cell>
          <cell r="H75">
            <v>0</v>
          </cell>
          <cell r="I75">
            <v>2</v>
          </cell>
          <cell r="J75">
            <v>8</v>
          </cell>
          <cell r="K75">
            <v>61</v>
          </cell>
          <cell r="L75">
            <v>75</v>
          </cell>
          <cell r="M75">
            <v>16</v>
          </cell>
          <cell r="N75">
            <v>0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2</v>
          </cell>
          <cell r="T75">
            <v>0</v>
          </cell>
          <cell r="U75">
            <v>0</v>
          </cell>
          <cell r="V75">
            <v>19</v>
          </cell>
        </row>
        <row r="77">
          <cell r="A77">
            <v>396</v>
          </cell>
          <cell r="D77">
            <v>69</v>
          </cell>
          <cell r="E77">
            <v>69</v>
          </cell>
          <cell r="F77">
            <v>30</v>
          </cell>
          <cell r="G77">
            <v>23</v>
          </cell>
          <cell r="H77">
            <v>5</v>
          </cell>
          <cell r="I77">
            <v>9</v>
          </cell>
          <cell r="J77">
            <v>27</v>
          </cell>
          <cell r="K77">
            <v>94</v>
          </cell>
          <cell r="L77">
            <v>188</v>
          </cell>
          <cell r="M77">
            <v>29</v>
          </cell>
          <cell r="N77">
            <v>4</v>
          </cell>
          <cell r="O77">
            <v>10</v>
          </cell>
          <cell r="P77">
            <v>0</v>
          </cell>
          <cell r="Q77">
            <v>1</v>
          </cell>
          <cell r="R77">
            <v>0</v>
          </cell>
          <cell r="S77">
            <v>3</v>
          </cell>
          <cell r="T77">
            <v>2</v>
          </cell>
          <cell r="U77">
            <v>6</v>
          </cell>
          <cell r="V77">
            <v>55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ed Amounts"/>
    </sheetNames>
    <sheetDataSet>
      <sheetData sheetId="0" refreshError="1">
        <row r="7">
          <cell r="H7">
            <v>0</v>
          </cell>
        </row>
        <row r="149">
          <cell r="I149">
            <v>-322157.92574859853</v>
          </cell>
        </row>
        <row r="162">
          <cell r="I162">
            <v>0</v>
          </cell>
        </row>
        <row r="163">
          <cell r="I163">
            <v>-14065.621132128788</v>
          </cell>
        </row>
        <row r="164">
          <cell r="I164">
            <v>-14946.984579716975</v>
          </cell>
        </row>
        <row r="165">
          <cell r="I165">
            <v>-9433.2933428891047</v>
          </cell>
        </row>
        <row r="166">
          <cell r="I166">
            <v>0</v>
          </cell>
        </row>
        <row r="167">
          <cell r="I167">
            <v>0</v>
          </cell>
        </row>
        <row r="168">
          <cell r="I168">
            <v>-113097.28260242619</v>
          </cell>
        </row>
        <row r="169">
          <cell r="I169">
            <v>-31062.573315865986</v>
          </cell>
        </row>
        <row r="170">
          <cell r="I170">
            <v>0</v>
          </cell>
        </row>
        <row r="171">
          <cell r="I171">
            <v>-1055.7168538204842</v>
          </cell>
        </row>
        <row r="172">
          <cell r="I172">
            <v>0</v>
          </cell>
        </row>
        <row r="174">
          <cell r="I174">
            <v>2908.2904948400173</v>
          </cell>
        </row>
        <row r="175">
          <cell r="I175">
            <v>-1517.3749542244705</v>
          </cell>
        </row>
        <row r="176">
          <cell r="I176">
            <v>0</v>
          </cell>
        </row>
        <row r="177">
          <cell r="I177">
            <v>210.84242529510993</v>
          </cell>
        </row>
        <row r="178">
          <cell r="I178">
            <v>-4198.5679285379201</v>
          </cell>
        </row>
        <row r="180">
          <cell r="I180">
            <v>0</v>
          </cell>
        </row>
        <row r="185">
          <cell r="I185">
            <v>0</v>
          </cell>
        </row>
        <row r="186">
          <cell r="I186">
            <v>-24145.178855639864</v>
          </cell>
        </row>
        <row r="190">
          <cell r="I190">
            <v>-13786.843486509482</v>
          </cell>
        </row>
        <row r="191">
          <cell r="I191">
            <v>-3516.4052830321971</v>
          </cell>
        </row>
        <row r="193">
          <cell r="I193">
            <v>3960.2403711526622</v>
          </cell>
        </row>
        <row r="195">
          <cell r="I195">
            <v>0</v>
          </cell>
        </row>
        <row r="197">
          <cell r="I197">
            <v>-13026.842935677982</v>
          </cell>
        </row>
        <row r="198">
          <cell r="I198">
            <v>2014.4652695225413</v>
          </cell>
        </row>
        <row r="199">
          <cell r="I199">
            <v>1947.4588755535794</v>
          </cell>
        </row>
        <row r="200">
          <cell r="I200">
            <v>0</v>
          </cell>
        </row>
        <row r="201">
          <cell r="I201">
            <v>-19208.648799330509</v>
          </cell>
        </row>
        <row r="202">
          <cell r="I202">
            <v>-3892.7998885716588</v>
          </cell>
        </row>
        <row r="203">
          <cell r="I203">
            <v>-38409.203719952857</v>
          </cell>
        </row>
        <row r="204">
          <cell r="I204">
            <v>-24019.310514481713</v>
          </cell>
        </row>
        <row r="205">
          <cell r="I205">
            <v>-103721.21890892257</v>
          </cell>
        </row>
        <row r="206">
          <cell r="I206">
            <v>-17927.028628168486</v>
          </cell>
        </row>
        <row r="207">
          <cell r="I207">
            <v>0</v>
          </cell>
        </row>
        <row r="208">
          <cell r="I208">
            <v>-8439.5432957393314</v>
          </cell>
        </row>
        <row r="209">
          <cell r="I209">
            <v>5965.2293969065395</v>
          </cell>
        </row>
        <row r="210">
          <cell r="I210">
            <v>-1265.9733586273378</v>
          </cell>
        </row>
        <row r="211">
          <cell r="I211">
            <v>0</v>
          </cell>
        </row>
        <row r="212">
          <cell r="I212">
            <v>430.97853243066493</v>
          </cell>
        </row>
        <row r="213">
          <cell r="I213">
            <v>3998.0606576154573</v>
          </cell>
        </row>
        <row r="214">
          <cell r="I214">
            <v>-3516.4052830321971</v>
          </cell>
        </row>
        <row r="215">
          <cell r="I215">
            <v>-15666.0156532652</v>
          </cell>
        </row>
        <row r="216">
          <cell r="I216">
            <v>-1360.5831120636303</v>
          </cell>
        </row>
        <row r="217">
          <cell r="I217">
            <v>-3516.4052830321971</v>
          </cell>
        </row>
        <row r="218">
          <cell r="I218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able 5B1_RSD_Orleans"/>
    </sheetNames>
    <sheetDataSet>
      <sheetData sheetId="0"/>
      <sheetData sheetId="1">
        <row r="7">
          <cell r="P7">
            <v>1034525</v>
          </cell>
        </row>
        <row r="10">
          <cell r="P10">
            <v>124440</v>
          </cell>
        </row>
        <row r="11">
          <cell r="P11">
            <v>148659</v>
          </cell>
        </row>
        <row r="12">
          <cell r="P12">
            <v>204745</v>
          </cell>
        </row>
        <row r="13">
          <cell r="P13">
            <v>129485</v>
          </cell>
        </row>
        <row r="14">
          <cell r="P14">
            <v>55956</v>
          </cell>
        </row>
        <row r="15">
          <cell r="P15">
            <v>51350</v>
          </cell>
        </row>
        <row r="16">
          <cell r="P16">
            <v>119538</v>
          </cell>
        </row>
        <row r="17">
          <cell r="P17">
            <v>179396</v>
          </cell>
        </row>
        <row r="18">
          <cell r="P18">
            <v>156033</v>
          </cell>
        </row>
        <row r="19">
          <cell r="P19">
            <v>182296</v>
          </cell>
        </row>
        <row r="20">
          <cell r="P20">
            <v>36665</v>
          </cell>
        </row>
        <row r="21">
          <cell r="P21">
            <v>143898</v>
          </cell>
        </row>
        <row r="22">
          <cell r="P22">
            <v>93828</v>
          </cell>
        </row>
        <row r="23">
          <cell r="P23">
            <v>253339</v>
          </cell>
        </row>
        <row r="24">
          <cell r="P24">
            <v>241135</v>
          </cell>
        </row>
        <row r="25">
          <cell r="P25">
            <v>218453</v>
          </cell>
        </row>
        <row r="26">
          <cell r="P26">
            <v>62221</v>
          </cell>
        </row>
        <row r="27">
          <cell r="P27">
            <v>61902</v>
          </cell>
        </row>
        <row r="28">
          <cell r="P28">
            <v>277467</v>
          </cell>
        </row>
        <row r="29">
          <cell r="P29">
            <v>151198</v>
          </cell>
        </row>
        <row r="30">
          <cell r="P30">
            <v>135002</v>
          </cell>
        </row>
        <row r="31">
          <cell r="P31">
            <v>139101</v>
          </cell>
        </row>
        <row r="32">
          <cell r="P32">
            <v>137097</v>
          </cell>
        </row>
        <row r="33">
          <cell r="P33">
            <v>155234</v>
          </cell>
        </row>
        <row r="34">
          <cell r="P34">
            <v>38998</v>
          </cell>
        </row>
        <row r="35">
          <cell r="P35">
            <v>34823</v>
          </cell>
        </row>
        <row r="36">
          <cell r="P36">
            <v>149262</v>
          </cell>
        </row>
        <row r="37">
          <cell r="P37">
            <v>118453</v>
          </cell>
        </row>
        <row r="38">
          <cell r="P38">
            <v>178005</v>
          </cell>
        </row>
        <row r="39">
          <cell r="P39">
            <v>127540</v>
          </cell>
        </row>
        <row r="40">
          <cell r="P40">
            <v>213783</v>
          </cell>
        </row>
        <row r="41">
          <cell r="P41">
            <v>184629</v>
          </cell>
        </row>
        <row r="42">
          <cell r="P42">
            <v>222888</v>
          </cell>
        </row>
        <row r="43">
          <cell r="P43">
            <v>125388</v>
          </cell>
        </row>
        <row r="44">
          <cell r="P44">
            <v>126103</v>
          </cell>
        </row>
        <row r="45">
          <cell r="P45">
            <v>309272</v>
          </cell>
        </row>
        <row r="46">
          <cell r="P46">
            <v>157853</v>
          </cell>
        </row>
        <row r="47">
          <cell r="P47">
            <v>130791</v>
          </cell>
        </row>
        <row r="48">
          <cell r="P48">
            <v>217758</v>
          </cell>
        </row>
        <row r="49">
          <cell r="P49">
            <v>200103</v>
          </cell>
        </row>
        <row r="50">
          <cell r="P50">
            <v>211870</v>
          </cell>
        </row>
        <row r="51">
          <cell r="P51">
            <v>160509</v>
          </cell>
        </row>
        <row r="52">
          <cell r="P52">
            <v>291064</v>
          </cell>
        </row>
        <row r="53">
          <cell r="P53">
            <v>92611</v>
          </cell>
        </row>
        <row r="54">
          <cell r="P54">
            <v>153021</v>
          </cell>
        </row>
        <row r="55">
          <cell r="P55">
            <v>195404</v>
          </cell>
        </row>
        <row r="56">
          <cell r="P56">
            <v>254450</v>
          </cell>
        </row>
        <row r="57">
          <cell r="P57">
            <v>141147</v>
          </cell>
        </row>
        <row r="58">
          <cell r="P58">
            <v>168022</v>
          </cell>
        </row>
        <row r="59">
          <cell r="P59">
            <v>123659</v>
          </cell>
        </row>
        <row r="60">
          <cell r="P60">
            <v>183847</v>
          </cell>
        </row>
        <row r="61">
          <cell r="P61">
            <v>201973</v>
          </cell>
        </row>
        <row r="62">
          <cell r="P62">
            <v>203381</v>
          </cell>
        </row>
        <row r="63">
          <cell r="P63">
            <v>156931</v>
          </cell>
        </row>
        <row r="64">
          <cell r="P64">
            <v>185088</v>
          </cell>
        </row>
        <row r="65">
          <cell r="P65">
            <v>230048</v>
          </cell>
        </row>
        <row r="66">
          <cell r="P66">
            <v>212340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able 5B1_RSD_Orleans"/>
    </sheetNames>
    <sheetDataSet>
      <sheetData sheetId="0"/>
      <sheetData sheetId="1">
        <row r="7">
          <cell r="W7">
            <v>1038706</v>
          </cell>
          <cell r="AK7">
            <v>1108273.9088636364</v>
          </cell>
        </row>
        <row r="10">
          <cell r="W10">
            <v>124440</v>
          </cell>
          <cell r="AK10">
            <v>151855.53454545455</v>
          </cell>
        </row>
        <row r="11">
          <cell r="W11">
            <v>148659</v>
          </cell>
          <cell r="AK11">
            <v>173985.30545454545</v>
          </cell>
        </row>
        <row r="12">
          <cell r="W12">
            <v>204745</v>
          </cell>
          <cell r="AK12">
            <v>250007.49818181817</v>
          </cell>
        </row>
        <row r="13">
          <cell r="W13">
            <v>129485</v>
          </cell>
          <cell r="AK13">
            <v>156322.74727272728</v>
          </cell>
        </row>
        <row r="14">
          <cell r="W14">
            <v>55956</v>
          </cell>
          <cell r="AK14">
            <v>69318.370909090911</v>
          </cell>
        </row>
        <row r="15">
          <cell r="W15">
            <v>51350</v>
          </cell>
          <cell r="AK15">
            <v>72428.758181818179</v>
          </cell>
        </row>
        <row r="16">
          <cell r="W16">
            <v>119538</v>
          </cell>
          <cell r="AK16">
            <v>134402.10181818184</v>
          </cell>
        </row>
        <row r="17">
          <cell r="W17">
            <v>179396</v>
          </cell>
          <cell r="AK17">
            <v>199944.84545454543</v>
          </cell>
        </row>
        <row r="18">
          <cell r="W18">
            <v>120683</v>
          </cell>
          <cell r="AK18">
            <v>136801.86545454545</v>
          </cell>
        </row>
        <row r="19">
          <cell r="W19">
            <v>182296</v>
          </cell>
          <cell r="AK19">
            <v>199548.89818181816</v>
          </cell>
        </row>
        <row r="20">
          <cell r="W20">
            <v>46167</v>
          </cell>
          <cell r="AK20">
            <v>65652.252727272731</v>
          </cell>
        </row>
        <row r="21">
          <cell r="W21">
            <v>143898</v>
          </cell>
          <cell r="AK21">
            <v>149947.82545454547</v>
          </cell>
        </row>
        <row r="22">
          <cell r="W22">
            <v>126517</v>
          </cell>
          <cell r="AK22">
            <v>158107.24</v>
          </cell>
        </row>
        <row r="23">
          <cell r="W23">
            <v>253339</v>
          </cell>
          <cell r="AK23">
            <v>248912.2781818182</v>
          </cell>
        </row>
        <row r="24">
          <cell r="W24">
            <v>241135</v>
          </cell>
          <cell r="AK24">
            <v>250088.20909090908</v>
          </cell>
        </row>
        <row r="25">
          <cell r="W25">
            <v>218453</v>
          </cell>
          <cell r="AK25">
            <v>243808.34909090909</v>
          </cell>
        </row>
        <row r="26">
          <cell r="W26">
            <v>62220</v>
          </cell>
          <cell r="AK26">
            <v>71907.070909090908</v>
          </cell>
        </row>
        <row r="27">
          <cell r="W27">
            <v>61902</v>
          </cell>
          <cell r="AK27">
            <v>68153.027272727282</v>
          </cell>
        </row>
        <row r="28">
          <cell r="W28">
            <v>277467</v>
          </cell>
          <cell r="AK28">
            <v>312105.18909090909</v>
          </cell>
        </row>
        <row r="29">
          <cell r="W29">
            <v>151198</v>
          </cell>
          <cell r="AK29">
            <v>152237.13090909089</v>
          </cell>
        </row>
        <row r="30">
          <cell r="W30">
            <v>135002</v>
          </cell>
          <cell r="AK30">
            <v>151855.53454545455</v>
          </cell>
        </row>
        <row r="31">
          <cell r="W31">
            <v>139100</v>
          </cell>
          <cell r="AK31">
            <v>153381.73818181819</v>
          </cell>
        </row>
        <row r="32">
          <cell r="W32">
            <v>163310</v>
          </cell>
          <cell r="AK32">
            <v>174089.36363636365</v>
          </cell>
        </row>
        <row r="33">
          <cell r="W33">
            <v>155234</v>
          </cell>
          <cell r="AK33">
            <v>152300.32363636364</v>
          </cell>
        </row>
        <row r="34">
          <cell r="W34">
            <v>75108</v>
          </cell>
          <cell r="AK34">
            <v>79604.545454545456</v>
          </cell>
        </row>
        <row r="35">
          <cell r="W35">
            <v>72834</v>
          </cell>
          <cell r="AK35">
            <v>79777.909090909088</v>
          </cell>
        </row>
        <row r="36">
          <cell r="W36">
            <v>149262</v>
          </cell>
          <cell r="AK36">
            <v>151744.22727272726</v>
          </cell>
        </row>
        <row r="37">
          <cell r="W37">
            <v>118453</v>
          </cell>
          <cell r="AK37">
            <v>134304.46545454545</v>
          </cell>
        </row>
        <row r="38">
          <cell r="W38">
            <v>178005</v>
          </cell>
          <cell r="AK38">
            <v>188102.46181818182</v>
          </cell>
        </row>
        <row r="39">
          <cell r="W39">
            <v>127540</v>
          </cell>
          <cell r="AK39">
            <v>143461.50545454546</v>
          </cell>
        </row>
        <row r="40">
          <cell r="W40">
            <v>213783</v>
          </cell>
          <cell r="AK40">
            <v>232330.58909090908</v>
          </cell>
        </row>
        <row r="41">
          <cell r="W41">
            <v>184629</v>
          </cell>
          <cell r="AK41">
            <v>264831.57090909086</v>
          </cell>
        </row>
        <row r="42">
          <cell r="W42">
            <v>222888</v>
          </cell>
          <cell r="AK42">
            <v>264793.42181818181</v>
          </cell>
        </row>
        <row r="43">
          <cell r="W43">
            <v>125388</v>
          </cell>
          <cell r="AK43">
            <v>132396.66545454547</v>
          </cell>
        </row>
        <row r="44">
          <cell r="W44">
            <v>126103</v>
          </cell>
          <cell r="AK44">
            <v>162507.54545454544</v>
          </cell>
        </row>
        <row r="45">
          <cell r="W45">
            <v>309272</v>
          </cell>
          <cell r="AK45">
            <v>338225.51454545459</v>
          </cell>
        </row>
        <row r="46">
          <cell r="W46">
            <v>157853</v>
          </cell>
          <cell r="AK46">
            <v>177975.86</v>
          </cell>
        </row>
        <row r="47">
          <cell r="W47">
            <v>130791</v>
          </cell>
          <cell r="AK47">
            <v>169406.69454545455</v>
          </cell>
        </row>
        <row r="48">
          <cell r="W48">
            <v>217758</v>
          </cell>
          <cell r="AK48">
            <v>256256.12545454546</v>
          </cell>
        </row>
        <row r="49">
          <cell r="W49">
            <v>200103</v>
          </cell>
          <cell r="AK49">
            <v>230868.21454545454</v>
          </cell>
        </row>
        <row r="50">
          <cell r="W50">
            <v>211870</v>
          </cell>
          <cell r="AK50">
            <v>238755.36727272728</v>
          </cell>
        </row>
        <row r="51">
          <cell r="W51">
            <v>160509</v>
          </cell>
          <cell r="AK51">
            <v>179487.45454545456</v>
          </cell>
        </row>
        <row r="52">
          <cell r="W52">
            <v>291064</v>
          </cell>
          <cell r="AK52">
            <v>327510.52181818185</v>
          </cell>
        </row>
        <row r="53">
          <cell r="W53">
            <v>92611</v>
          </cell>
          <cell r="AK53">
            <v>99585.469090909086</v>
          </cell>
        </row>
        <row r="54">
          <cell r="W54">
            <v>153021</v>
          </cell>
          <cell r="AK54">
            <v>184287.04363636364</v>
          </cell>
        </row>
        <row r="55">
          <cell r="W55">
            <v>223230</v>
          </cell>
          <cell r="AK55">
            <v>261290.06181818183</v>
          </cell>
        </row>
        <row r="56">
          <cell r="W56">
            <v>265796</v>
          </cell>
          <cell r="AK56">
            <v>304132.50727272726</v>
          </cell>
        </row>
        <row r="57">
          <cell r="W57">
            <v>141147</v>
          </cell>
          <cell r="AK57">
            <v>155051.75454545455</v>
          </cell>
        </row>
        <row r="58">
          <cell r="W58">
            <v>168022</v>
          </cell>
          <cell r="AK58">
            <v>195733.47999999998</v>
          </cell>
        </row>
        <row r="59">
          <cell r="W59">
            <v>172693</v>
          </cell>
          <cell r="AK59">
            <v>185440.16545454544</v>
          </cell>
        </row>
        <row r="60">
          <cell r="W60">
            <v>222618</v>
          </cell>
          <cell r="AK60">
            <v>238920.99636363637</v>
          </cell>
        </row>
        <row r="61">
          <cell r="W61">
            <v>201973</v>
          </cell>
          <cell r="AK61">
            <v>193825.68</v>
          </cell>
        </row>
        <row r="62">
          <cell r="W62">
            <v>203381</v>
          </cell>
          <cell r="AK62">
            <v>184875.00909090909</v>
          </cell>
        </row>
        <row r="63">
          <cell r="W63">
            <v>156931</v>
          </cell>
          <cell r="AK63">
            <v>150330.51272727273</v>
          </cell>
        </row>
        <row r="64">
          <cell r="W64">
            <v>185088</v>
          </cell>
          <cell r="AK64">
            <v>180090.02909090908</v>
          </cell>
        </row>
        <row r="65">
          <cell r="W65">
            <v>230048</v>
          </cell>
          <cell r="AK65">
            <v>246097.56363636366</v>
          </cell>
        </row>
        <row r="66">
          <cell r="W66">
            <v>212340</v>
          </cell>
          <cell r="AK66">
            <v>238848.23272727273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able 5B1_RSD_Orleans"/>
    </sheetNames>
    <sheetDataSet>
      <sheetData sheetId="0"/>
      <sheetData sheetId="1">
        <row r="7">
          <cell r="W7">
            <v>521136</v>
          </cell>
          <cell r="AK7">
            <v>548277.43950000009</v>
          </cell>
        </row>
        <row r="10">
          <cell r="W10">
            <v>124440</v>
          </cell>
          <cell r="AK10">
            <v>151855.48799999998</v>
          </cell>
        </row>
        <row r="11">
          <cell r="W11">
            <v>148659</v>
          </cell>
          <cell r="AK11">
            <v>173985.33600000001</v>
          </cell>
        </row>
        <row r="12">
          <cell r="W12">
            <v>204745</v>
          </cell>
          <cell r="AK12">
            <v>250007.54800000001</v>
          </cell>
        </row>
        <row r="13">
          <cell r="W13">
            <v>129485</v>
          </cell>
          <cell r="AK13">
            <v>156322.72200000001</v>
          </cell>
        </row>
        <row r="14">
          <cell r="W14">
            <v>55956</v>
          </cell>
          <cell r="AK14">
            <v>69318.407999999996</v>
          </cell>
        </row>
        <row r="15">
          <cell r="W15">
            <v>51350</v>
          </cell>
          <cell r="AK15">
            <v>72428.733999999997</v>
          </cell>
        </row>
        <row r="16">
          <cell r="W16">
            <v>119538</v>
          </cell>
          <cell r="AK16">
            <v>134402.11200000002</v>
          </cell>
        </row>
        <row r="17">
          <cell r="W17">
            <v>179396</v>
          </cell>
          <cell r="AK17">
            <v>199944.83</v>
          </cell>
        </row>
        <row r="18">
          <cell r="W18">
            <v>113157</v>
          </cell>
          <cell r="AK18">
            <v>128560.44399999999</v>
          </cell>
        </row>
        <row r="19">
          <cell r="W19">
            <v>182296</v>
          </cell>
          <cell r="AK19">
            <v>199548.88799999998</v>
          </cell>
        </row>
        <row r="20">
          <cell r="W20">
            <v>54948</v>
          </cell>
          <cell r="AK20">
            <v>76849.856</v>
          </cell>
        </row>
        <row r="21">
          <cell r="W21">
            <v>143898</v>
          </cell>
          <cell r="AK21">
            <v>149947.80800000002</v>
          </cell>
        </row>
        <row r="22">
          <cell r="W22">
            <v>128190</v>
          </cell>
          <cell r="AK22">
            <v>160240.136</v>
          </cell>
        </row>
        <row r="23">
          <cell r="W23">
            <v>253339</v>
          </cell>
          <cell r="AK23">
            <v>248912.30600000001</v>
          </cell>
        </row>
        <row r="24">
          <cell r="W24">
            <v>241135</v>
          </cell>
          <cell r="AK24">
            <v>250088.22999999998</v>
          </cell>
        </row>
        <row r="25">
          <cell r="W25">
            <v>218453</v>
          </cell>
          <cell r="AK25">
            <v>243808.38399999999</v>
          </cell>
        </row>
        <row r="26">
          <cell r="W26">
            <v>62221</v>
          </cell>
          <cell r="AK26">
            <v>71907.078000000009</v>
          </cell>
        </row>
        <row r="27">
          <cell r="W27">
            <v>61902</v>
          </cell>
          <cell r="AK27">
            <v>68153.03</v>
          </cell>
        </row>
        <row r="28">
          <cell r="W28">
            <v>277467</v>
          </cell>
          <cell r="AK28">
            <v>312105.20799999998</v>
          </cell>
        </row>
        <row r="29">
          <cell r="W29">
            <v>151198</v>
          </cell>
          <cell r="AK29">
            <v>152237.144</v>
          </cell>
        </row>
        <row r="30">
          <cell r="W30">
            <v>135002</v>
          </cell>
          <cell r="AK30">
            <v>151855.48799999998</v>
          </cell>
        </row>
        <row r="31">
          <cell r="W31">
            <v>139101</v>
          </cell>
          <cell r="AK31">
            <v>153381.712</v>
          </cell>
        </row>
        <row r="32">
          <cell r="W32">
            <v>177518</v>
          </cell>
          <cell r="AK32">
            <v>189656.50400000002</v>
          </cell>
        </row>
        <row r="33">
          <cell r="W33">
            <v>155234</v>
          </cell>
          <cell r="AK33">
            <v>152300.356</v>
          </cell>
        </row>
        <row r="34">
          <cell r="W34">
            <v>84725</v>
          </cell>
          <cell r="AK34">
            <v>90135.187999999995</v>
          </cell>
        </row>
        <row r="35">
          <cell r="W35">
            <v>73670</v>
          </cell>
          <cell r="AK35">
            <v>80693.611999999994</v>
          </cell>
        </row>
        <row r="36">
          <cell r="W36">
            <v>149262</v>
          </cell>
          <cell r="AK36">
            <v>151744.25</v>
          </cell>
        </row>
        <row r="37">
          <cell r="W37">
            <v>118453</v>
          </cell>
          <cell r="AK37">
            <v>134304.51200000002</v>
          </cell>
        </row>
        <row r="38">
          <cell r="W38">
            <v>178005</v>
          </cell>
          <cell r="AK38">
            <v>188102.508</v>
          </cell>
        </row>
        <row r="39">
          <cell r="W39">
            <v>127540</v>
          </cell>
          <cell r="AK39">
            <v>143461.45600000001</v>
          </cell>
        </row>
        <row r="40">
          <cell r="W40">
            <v>213783</v>
          </cell>
          <cell r="AK40">
            <v>232330.54800000001</v>
          </cell>
        </row>
        <row r="41">
          <cell r="W41">
            <v>184630</v>
          </cell>
          <cell r="AK41">
            <v>264831.52799999999</v>
          </cell>
        </row>
        <row r="42">
          <cell r="W42">
            <v>222888</v>
          </cell>
          <cell r="AK42">
            <v>264793.46400000004</v>
          </cell>
        </row>
        <row r="43">
          <cell r="W43">
            <v>125388</v>
          </cell>
          <cell r="AK43">
            <v>132396.63200000001</v>
          </cell>
        </row>
        <row r="44">
          <cell r="W44">
            <v>126103</v>
          </cell>
          <cell r="AK44">
            <v>162507.5</v>
          </cell>
        </row>
        <row r="45">
          <cell r="W45">
            <v>309272</v>
          </cell>
          <cell r="AK45">
            <v>338225.46600000001</v>
          </cell>
        </row>
        <row r="46">
          <cell r="W46">
            <v>157853</v>
          </cell>
          <cell r="AK46">
            <v>177975.84599999999</v>
          </cell>
        </row>
        <row r="47">
          <cell r="W47">
            <v>130791</v>
          </cell>
          <cell r="AK47">
            <v>169406.66399999999</v>
          </cell>
        </row>
        <row r="48">
          <cell r="W48">
            <v>217758</v>
          </cell>
          <cell r="AK48">
            <v>256256.13799999998</v>
          </cell>
        </row>
        <row r="49">
          <cell r="W49">
            <v>200104</v>
          </cell>
          <cell r="AK49">
            <v>230868.23599999998</v>
          </cell>
        </row>
        <row r="50">
          <cell r="W50">
            <v>211870</v>
          </cell>
          <cell r="AK50">
            <v>238755.40400000001</v>
          </cell>
        </row>
        <row r="51">
          <cell r="W51">
            <v>160509</v>
          </cell>
          <cell r="AK51">
            <v>179487.5</v>
          </cell>
        </row>
        <row r="52">
          <cell r="W52">
            <v>291064</v>
          </cell>
          <cell r="AK52">
            <v>327510.47400000005</v>
          </cell>
        </row>
        <row r="53">
          <cell r="W53">
            <v>92611</v>
          </cell>
          <cell r="AK53">
            <v>99585.515999999989</v>
          </cell>
        </row>
        <row r="54">
          <cell r="W54">
            <v>153021</v>
          </cell>
          <cell r="AK54">
            <v>184287.04800000001</v>
          </cell>
        </row>
        <row r="55">
          <cell r="W55">
            <v>235474</v>
          </cell>
          <cell r="AK55">
            <v>275025.74800000002</v>
          </cell>
        </row>
        <row r="56">
          <cell r="W56">
            <v>284934</v>
          </cell>
          <cell r="AK56">
            <v>325193.83399999997</v>
          </cell>
        </row>
        <row r="57">
          <cell r="W57">
            <v>141147</v>
          </cell>
          <cell r="AK57">
            <v>155051.73000000001</v>
          </cell>
        </row>
        <row r="58">
          <cell r="W58">
            <v>168022</v>
          </cell>
          <cell r="AK58">
            <v>195733.52799999999</v>
          </cell>
        </row>
        <row r="59">
          <cell r="W59">
            <v>148024</v>
          </cell>
          <cell r="AK59">
            <v>158426.67800000001</v>
          </cell>
        </row>
        <row r="60">
          <cell r="W60">
            <v>290771</v>
          </cell>
          <cell r="AK60">
            <v>313551.52400000003</v>
          </cell>
        </row>
        <row r="61">
          <cell r="W61">
            <v>201973</v>
          </cell>
          <cell r="AK61">
            <v>193825.64799999999</v>
          </cell>
        </row>
        <row r="62">
          <cell r="W62">
            <v>203381</v>
          </cell>
          <cell r="AK62">
            <v>184875.01</v>
          </cell>
        </row>
        <row r="63">
          <cell r="W63">
            <v>156932</v>
          </cell>
          <cell r="AK63">
            <v>150330.46399999998</v>
          </cell>
        </row>
        <row r="64">
          <cell r="W64">
            <v>185088</v>
          </cell>
          <cell r="AK64">
            <v>180090.03199999998</v>
          </cell>
        </row>
        <row r="65">
          <cell r="W65">
            <v>230048</v>
          </cell>
          <cell r="AK65">
            <v>246097.52000000002</v>
          </cell>
        </row>
        <row r="66">
          <cell r="W66">
            <v>212340</v>
          </cell>
          <cell r="AK66">
            <v>238848.25599999999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able 5B1_RSD_Orleans"/>
    </sheetNames>
    <sheetDataSet>
      <sheetData sheetId="0"/>
      <sheetData sheetId="1">
        <row r="7">
          <cell r="W7">
            <v>518972</v>
          </cell>
          <cell r="AK7">
            <v>545781.43700000003</v>
          </cell>
        </row>
        <row r="10">
          <cell r="W10">
            <v>124439</v>
          </cell>
          <cell r="AK10">
            <v>151855.48799999998</v>
          </cell>
        </row>
        <row r="11">
          <cell r="W11">
            <v>148659</v>
          </cell>
          <cell r="AK11">
            <v>173985.33599999998</v>
          </cell>
        </row>
        <row r="12">
          <cell r="W12">
            <v>204746</v>
          </cell>
          <cell r="AK12">
            <v>250007.54799999998</v>
          </cell>
        </row>
        <row r="13">
          <cell r="W13">
            <v>129484</v>
          </cell>
          <cell r="AK13">
            <v>156322.72200000001</v>
          </cell>
        </row>
        <row r="14">
          <cell r="W14">
            <v>55956</v>
          </cell>
          <cell r="AK14">
            <v>69318.407999999996</v>
          </cell>
        </row>
        <row r="15">
          <cell r="W15">
            <v>51350</v>
          </cell>
          <cell r="AK15">
            <v>72428.733999999997</v>
          </cell>
        </row>
        <row r="16">
          <cell r="W16">
            <v>119539</v>
          </cell>
          <cell r="AK16">
            <v>134402.11199999999</v>
          </cell>
        </row>
        <row r="17">
          <cell r="W17">
            <v>179396</v>
          </cell>
          <cell r="AK17">
            <v>199944.83</v>
          </cell>
        </row>
        <row r="18">
          <cell r="W18">
            <v>113156</v>
          </cell>
          <cell r="AK18">
            <v>128560.444</v>
          </cell>
        </row>
        <row r="19">
          <cell r="W19">
            <v>182295</v>
          </cell>
          <cell r="AK19">
            <v>199548.88800000001</v>
          </cell>
        </row>
        <row r="20">
          <cell r="W20">
            <v>54948</v>
          </cell>
          <cell r="AK20">
            <v>76849.856000000014</v>
          </cell>
        </row>
        <row r="21">
          <cell r="W21">
            <v>143898</v>
          </cell>
          <cell r="AK21">
            <v>149947.80799999999</v>
          </cell>
        </row>
        <row r="22">
          <cell r="W22">
            <v>128189</v>
          </cell>
          <cell r="AK22">
            <v>160240.136</v>
          </cell>
        </row>
        <row r="23">
          <cell r="W23">
            <v>253339</v>
          </cell>
          <cell r="AK23">
            <v>248912.30600000001</v>
          </cell>
        </row>
        <row r="24">
          <cell r="W24">
            <v>241135</v>
          </cell>
          <cell r="AK24">
            <v>250088.22999999998</v>
          </cell>
        </row>
        <row r="25">
          <cell r="W25">
            <v>218452</v>
          </cell>
          <cell r="AK25">
            <v>243808.38399999999</v>
          </cell>
        </row>
        <row r="26">
          <cell r="W26">
            <v>62220</v>
          </cell>
          <cell r="AK26">
            <v>71907.077999999994</v>
          </cell>
        </row>
        <row r="27">
          <cell r="W27">
            <v>61902</v>
          </cell>
          <cell r="AK27">
            <v>68153.030000000013</v>
          </cell>
        </row>
        <row r="28">
          <cell r="W28">
            <v>277467</v>
          </cell>
          <cell r="AK28">
            <v>312105.20800000004</v>
          </cell>
        </row>
        <row r="29">
          <cell r="W29">
            <v>151198</v>
          </cell>
          <cell r="AK29">
            <v>152237.144</v>
          </cell>
        </row>
        <row r="30">
          <cell r="W30">
            <v>135002</v>
          </cell>
          <cell r="AK30">
            <v>151855.48799999998</v>
          </cell>
        </row>
        <row r="31">
          <cell r="W31">
            <v>139100</v>
          </cell>
          <cell r="AK31">
            <v>153381.71200000003</v>
          </cell>
        </row>
        <row r="32">
          <cell r="W32">
            <v>177517</v>
          </cell>
          <cell r="AK32">
            <v>189656.50399999999</v>
          </cell>
        </row>
        <row r="33">
          <cell r="W33">
            <v>155235</v>
          </cell>
          <cell r="AK33">
            <v>152300.356</v>
          </cell>
        </row>
        <row r="34">
          <cell r="W34">
            <v>84725</v>
          </cell>
          <cell r="AK34">
            <v>90135.187999999995</v>
          </cell>
        </row>
        <row r="35">
          <cell r="W35">
            <v>73670</v>
          </cell>
          <cell r="AK35">
            <v>80693.611999999994</v>
          </cell>
        </row>
        <row r="36">
          <cell r="W36">
            <v>104571</v>
          </cell>
          <cell r="AK36">
            <v>102688.25</v>
          </cell>
        </row>
        <row r="37">
          <cell r="W37">
            <v>118453</v>
          </cell>
          <cell r="AK37">
            <v>134304.51200000002</v>
          </cell>
        </row>
        <row r="38">
          <cell r="W38">
            <v>178005</v>
          </cell>
          <cell r="AK38">
            <v>188102.508</v>
          </cell>
        </row>
        <row r="39">
          <cell r="W39">
            <v>112607</v>
          </cell>
          <cell r="AK39">
            <v>127109.45600000001</v>
          </cell>
        </row>
        <row r="40">
          <cell r="W40">
            <v>213783</v>
          </cell>
          <cell r="AK40">
            <v>232330.54799999998</v>
          </cell>
        </row>
        <row r="41">
          <cell r="W41">
            <v>146673</v>
          </cell>
          <cell r="AK41">
            <v>215318.42800000001</v>
          </cell>
        </row>
        <row r="42">
          <cell r="W42">
            <v>222888</v>
          </cell>
          <cell r="AK42">
            <v>264793.46400000004</v>
          </cell>
        </row>
        <row r="43">
          <cell r="W43">
            <v>125388</v>
          </cell>
          <cell r="AK43">
            <v>132396.63200000001</v>
          </cell>
        </row>
        <row r="44">
          <cell r="W44">
            <v>126102</v>
          </cell>
          <cell r="AK44">
            <v>162507.5</v>
          </cell>
        </row>
        <row r="45">
          <cell r="W45">
            <v>309272</v>
          </cell>
          <cell r="AK45">
            <v>338225.46600000001</v>
          </cell>
        </row>
        <row r="46">
          <cell r="W46">
            <v>157853</v>
          </cell>
          <cell r="AK46">
            <v>177975.84599999999</v>
          </cell>
        </row>
        <row r="47">
          <cell r="W47">
            <v>130791</v>
          </cell>
          <cell r="AK47">
            <v>169406.66400000002</v>
          </cell>
        </row>
        <row r="48">
          <cell r="W48">
            <v>217758</v>
          </cell>
          <cell r="AK48">
            <v>256256.13800000001</v>
          </cell>
        </row>
        <row r="49">
          <cell r="W49">
            <v>200103</v>
          </cell>
          <cell r="AK49">
            <v>230868.236</v>
          </cell>
        </row>
        <row r="50">
          <cell r="W50">
            <v>211871</v>
          </cell>
          <cell r="AK50">
            <v>238755.40400000001</v>
          </cell>
        </row>
        <row r="51">
          <cell r="W51">
            <v>160509</v>
          </cell>
          <cell r="AK51">
            <v>179487.5</v>
          </cell>
        </row>
        <row r="52">
          <cell r="W52">
            <v>291064</v>
          </cell>
          <cell r="AK52">
            <v>327510.47399999999</v>
          </cell>
        </row>
        <row r="53">
          <cell r="W53">
            <v>69052</v>
          </cell>
          <cell r="AK53">
            <v>74730.47600000001</v>
          </cell>
        </row>
        <row r="54">
          <cell r="W54">
            <v>153021</v>
          </cell>
          <cell r="AK54">
            <v>184287.04799999998</v>
          </cell>
        </row>
        <row r="55">
          <cell r="W55">
            <v>235473</v>
          </cell>
          <cell r="AK55">
            <v>275025.74800000002</v>
          </cell>
        </row>
        <row r="56">
          <cell r="W56">
            <v>284934</v>
          </cell>
          <cell r="AK56">
            <v>325193.83399999997</v>
          </cell>
        </row>
        <row r="57">
          <cell r="W57">
            <v>141147</v>
          </cell>
          <cell r="AK57">
            <v>155051.72999999998</v>
          </cell>
        </row>
        <row r="58">
          <cell r="W58">
            <v>168021</v>
          </cell>
          <cell r="AK58">
            <v>195733.52799999996</v>
          </cell>
        </row>
        <row r="59">
          <cell r="W59">
            <v>148024</v>
          </cell>
          <cell r="AK59">
            <v>158426.67800000001</v>
          </cell>
        </row>
        <row r="60">
          <cell r="W60">
            <v>290772</v>
          </cell>
          <cell r="AK60">
            <v>313551.52400000003</v>
          </cell>
        </row>
        <row r="61">
          <cell r="W61">
            <v>201972</v>
          </cell>
          <cell r="AK61">
            <v>193825.64800000002</v>
          </cell>
        </row>
        <row r="62">
          <cell r="W62">
            <v>203381</v>
          </cell>
          <cell r="AK62">
            <v>184875.01</v>
          </cell>
        </row>
        <row r="63">
          <cell r="W63">
            <v>156931</v>
          </cell>
          <cell r="AK63">
            <v>150330.46399999998</v>
          </cell>
        </row>
        <row r="64">
          <cell r="W64">
            <v>185087</v>
          </cell>
          <cell r="AK64">
            <v>180090.03199999998</v>
          </cell>
        </row>
        <row r="65">
          <cell r="W65">
            <v>230048</v>
          </cell>
          <cell r="AK65">
            <v>246097.52000000002</v>
          </cell>
        </row>
        <row r="66">
          <cell r="W66">
            <v>212340</v>
          </cell>
          <cell r="AK66">
            <v>238848.25600000002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3"/>
  <sheetViews>
    <sheetView view="pageBreakPreview" zoomScale="77" zoomScaleNormal="75" zoomScaleSheetLayoutView="77" workbookViewId="0">
      <pane xSplit="2" ySplit="5" topLeftCell="C6" activePane="bottomRight" state="frozen"/>
      <selection activeCell="B3" sqref="B3:B5"/>
      <selection pane="topRight" activeCell="B3" sqref="B3:B5"/>
      <selection pane="bottomLeft" activeCell="B3" sqref="B3:B5"/>
      <selection pane="bottomRight" activeCell="D6" sqref="D6"/>
    </sheetView>
  </sheetViews>
  <sheetFormatPr defaultColWidth="9.140625" defaultRowHeight="12.75"/>
  <cols>
    <col min="1" max="1" width="8.7109375" style="1" customWidth="1"/>
    <col min="2" max="2" width="37.42578125" style="1" customWidth="1"/>
    <col min="3" max="3" width="16.28515625" style="1" bestFit="1" customWidth="1"/>
    <col min="4" max="4" width="18.5703125" style="1" bestFit="1" customWidth="1"/>
    <col min="5" max="5" width="16.28515625" style="1" bestFit="1" customWidth="1"/>
    <col min="6" max="16384" width="9.140625" style="1"/>
  </cols>
  <sheetData>
    <row r="1" spans="1:32" ht="15.75" hidden="1" customHeight="1">
      <c r="A1" s="473"/>
      <c r="B1" s="474"/>
      <c r="C1" s="474"/>
      <c r="D1" s="474"/>
      <c r="E1" s="474"/>
    </row>
    <row r="2" spans="1:32" s="2" customFormat="1" ht="52.5" customHeight="1">
      <c r="A2" s="471" t="s">
        <v>386</v>
      </c>
      <c r="B2" s="472"/>
      <c r="C2" s="472"/>
      <c r="D2" s="472"/>
      <c r="E2" s="47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s="2" customFormat="1" ht="143.25" customHeight="1">
      <c r="A3" s="469" t="s">
        <v>0</v>
      </c>
      <c r="B3" s="469" t="s">
        <v>1</v>
      </c>
      <c r="C3" s="469" t="s">
        <v>58</v>
      </c>
      <c r="D3" s="469" t="s">
        <v>59</v>
      </c>
      <c r="E3" s="475" t="s">
        <v>54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s="2" customFormat="1" ht="27.75" customHeight="1">
      <c r="A4" s="470" t="s">
        <v>8</v>
      </c>
      <c r="B4" s="470"/>
      <c r="C4" s="470"/>
      <c r="D4" s="470">
        <f>'[1]Diff Funding Calculation'!$D$32</f>
        <v>2466.1783142239633</v>
      </c>
      <c r="E4" s="47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s="2" customFormat="1">
      <c r="A5" s="10"/>
      <c r="B5" s="10"/>
      <c r="C5" s="11">
        <v>1</v>
      </c>
      <c r="D5" s="11">
        <f t="shared" ref="D5:E5" si="0">C5+1</f>
        <v>2</v>
      </c>
      <c r="E5" s="11">
        <f t="shared" si="0"/>
        <v>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s="2" customFormat="1" ht="30.75" customHeight="1">
      <c r="A6" s="22">
        <v>300001</v>
      </c>
      <c r="B6" s="23" t="s">
        <v>87</v>
      </c>
      <c r="C6" s="24">
        <f>'Table 5B1_RSD_Orleans'!AC10-'Table 5B1_RSD_Orleans'!Y10</f>
        <v>1350400.0038471662</v>
      </c>
      <c r="D6" s="25">
        <f>'Table 5B1_RSD_Orleans'!AU10-'Table 5B1_RSD_Orleans'!AQ10</f>
        <v>1745832</v>
      </c>
      <c r="E6" s="25">
        <f>'Table 5B1_RSD_Orleans'!Y10+'Table 5B1_RSD_Orleans'!AQ10</f>
        <v>-61924.643847166153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s="2" customFormat="1" ht="30.75" customHeight="1">
      <c r="A7" s="29">
        <v>300002</v>
      </c>
      <c r="B7" s="30" t="s">
        <v>11</v>
      </c>
      <c r="C7" s="31">
        <f>'Table 5B1_RSD_Orleans'!AC11-'Table 5B1_RSD_Orleans'!Y11</f>
        <v>1855410.5223472265</v>
      </c>
      <c r="D7" s="32">
        <f>'Table 5B1_RSD_Orleans'!AU11-'Table 5B1_RSD_Orleans'!AQ11</f>
        <v>2289654</v>
      </c>
      <c r="E7" s="32">
        <f>'Table 5B1_RSD_Orleans'!Y11+'Table 5B1_RSD_Orleans'!AQ11</f>
        <v>-83182.602347226566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s="2" customFormat="1" ht="30.75" customHeight="1">
      <c r="A8" s="29">
        <v>300003</v>
      </c>
      <c r="B8" s="30" t="s">
        <v>63</v>
      </c>
      <c r="C8" s="31">
        <f>'Table 5B1_RSD_Orleans'!AC12-'Table 5B1_RSD_Orleans'!Y12</f>
        <v>2488796.8826744771</v>
      </c>
      <c r="D8" s="32">
        <f>'Table 5B1_RSD_Orleans'!AU12-'Table 5B1_RSD_Orleans'!AQ12</f>
        <v>3082282</v>
      </c>
      <c r="E8" s="32">
        <f>'Table 5B1_RSD_Orleans'!Y12+'Table 5B1_RSD_Orleans'!AQ12</f>
        <v>-111972.56267447687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s="2" customFormat="1" ht="30.75" customHeight="1">
      <c r="A9" s="35">
        <v>300004</v>
      </c>
      <c r="B9" s="36" t="s">
        <v>88</v>
      </c>
      <c r="C9" s="31">
        <f>'Table 5B1_RSD_Orleans'!AC13-'Table 5B1_RSD_Orleans'!Y13</f>
        <v>1649544.5615598634</v>
      </c>
      <c r="D9" s="32">
        <f>'Table 5B1_RSD_Orleans'!AU13-'Table 5B1_RSD_Orleans'!AQ13</f>
        <v>2041092.5</v>
      </c>
      <c r="E9" s="34">
        <f>'Table 5B1_RSD_Orleans'!Y13+'Table 5B1_RSD_Orleans'!AQ13</f>
        <v>-74211.28155986339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s="2" customFormat="1" ht="34.5" customHeight="1">
      <c r="A10" s="37">
        <v>360001</v>
      </c>
      <c r="B10" s="38" t="s">
        <v>89</v>
      </c>
      <c r="C10" s="39">
        <f>'Table 5B1_RSD_Orleans'!AC14-'Table 5B1_RSD_Orleans'!Y14</f>
        <v>741504.08381339302</v>
      </c>
      <c r="D10" s="40">
        <f>'Table 5B1_RSD_Orleans'!AU14-'Table 5B1_RSD_Orleans'!AQ14</f>
        <v>825816</v>
      </c>
      <c r="E10" s="42">
        <f>'Table 5B1_RSD_Orleans'!Y14+'Table 5B1_RSD_Orleans'!AQ14</f>
        <v>-31346.403813393044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s="2" customFormat="1" ht="42.75" customHeight="1">
      <c r="A11" s="22">
        <v>361001</v>
      </c>
      <c r="B11" s="23" t="s">
        <v>93</v>
      </c>
      <c r="C11" s="43">
        <f>'Table 5B1_RSD_Orleans'!AC15-'Table 5B1_RSD_Orleans'!Y15</f>
        <v>1098322.4389165808</v>
      </c>
      <c r="D11" s="25">
        <f>'Table 5B1_RSD_Orleans'!AU15-'Table 5B1_RSD_Orleans'!AQ15</f>
        <v>1252306.5</v>
      </c>
      <c r="E11" s="25">
        <f>'Table 5B1_RSD_Orleans'!Y15+'Table 5B1_RSD_Orleans'!AQ15</f>
        <v>-47012.568916580822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s="2" customFormat="1" ht="34.5" customHeight="1">
      <c r="A12" s="29">
        <v>362001</v>
      </c>
      <c r="B12" s="30" t="s">
        <v>90</v>
      </c>
      <c r="C12" s="44">
        <f>'Table 5B1_RSD_Orleans'!AC16-'Table 5B1_RSD_Orleans'!Y16</f>
        <v>1258734.659521695</v>
      </c>
      <c r="D12" s="32">
        <f>'Table 5B1_RSD_Orleans'!AU16-'Table 5B1_RSD_Orleans'!AQ16</f>
        <v>1374096</v>
      </c>
      <c r="E12" s="32">
        <f>'Table 5B1_RSD_Orleans'!Y16+'Table 5B1_RSD_Orleans'!AQ16</f>
        <v>-54920.499521695034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s="2" customFormat="1" ht="30.75" customHeight="1">
      <c r="A13" s="35">
        <v>363001</v>
      </c>
      <c r="B13" s="36" t="s">
        <v>91</v>
      </c>
      <c r="C13" s="31">
        <f>'Table 5B1_RSD_Orleans'!AC17-'Table 5B1_RSD_Orleans'!Y17</f>
        <v>2139306.3828662056</v>
      </c>
      <c r="D13" s="32">
        <f>'Table 5B1_RSD_Orleans'!AU17-'Table 5B1_RSD_Orleans'!AQ17</f>
        <v>2428069.5</v>
      </c>
      <c r="E13" s="32">
        <f>'Table 5B1_RSD_Orleans'!Y17+'Table 5B1_RSD_Orleans'!AQ17</f>
        <v>-92514.742866205546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s="2" customFormat="1" ht="30.75" customHeight="1">
      <c r="A14" s="45">
        <v>363002</v>
      </c>
      <c r="B14" s="46" t="s">
        <v>92</v>
      </c>
      <c r="C14" s="47">
        <f>'Table 5B1_RSD_Orleans'!AC18-'Table 5B1_RSD_Orleans'!Y18</f>
        <v>1488678.5762387512</v>
      </c>
      <c r="D14" s="32">
        <f>'Table 5B1_RSD_Orleans'!AU18-'Table 5B1_RSD_Orleans'!AQ18</f>
        <v>1650138</v>
      </c>
      <c r="E14" s="32">
        <f>'Table 5B1_RSD_Orleans'!Y18+'Table 5B1_RSD_Orleans'!AQ18</f>
        <v>-62776.336238751159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s="2" customFormat="1" ht="30.75" customHeight="1">
      <c r="A15" s="48">
        <v>364001</v>
      </c>
      <c r="B15" s="49" t="s">
        <v>94</v>
      </c>
      <c r="C15" s="50">
        <f>'Table 5B1_RSD_Orleans'!AC19-'Table 5B1_RSD_Orleans'!Y19</f>
        <v>2307748.9881217158</v>
      </c>
      <c r="D15" s="40">
        <f>'Table 5B1_RSD_Orleans'!AU19-'Table 5B1_RSD_Orleans'!AQ19</f>
        <v>2541726</v>
      </c>
      <c r="E15" s="40">
        <f>'Table 5B1_RSD_Orleans'!Y19+'Table 5B1_RSD_Orleans'!AQ19</f>
        <v>-96989.508121716004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s="2" customFormat="1" ht="47.25" customHeight="1">
      <c r="A16" s="51">
        <v>366001</v>
      </c>
      <c r="B16" s="52" t="s">
        <v>95</v>
      </c>
      <c r="C16" s="24">
        <f>'Table 5B1_RSD_Orleans'!AC20-'Table 5B1_RSD_Orleans'!Y20</f>
        <v>545036.86026691191</v>
      </c>
      <c r="D16" s="25">
        <f>'Table 5B1_RSD_Orleans'!AU20-'Table 5B1_RSD_Orleans'!AQ20</f>
        <v>882789.5</v>
      </c>
      <c r="E16" s="25">
        <f>'Table 5B1_RSD_Orleans'!Y20+'Table 5B1_RSD_Orleans'!AQ20</f>
        <v>-28633.440266911912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s="2" customFormat="1" ht="30.75" customHeight="1">
      <c r="A17" s="35">
        <v>367001</v>
      </c>
      <c r="B17" s="36" t="s">
        <v>19</v>
      </c>
      <c r="C17" s="31">
        <f>'Table 5B1_RSD_Orleans'!AC21-'Table 5B1_RSD_Orleans'!Y21</f>
        <v>1546626.5249467881</v>
      </c>
      <c r="D17" s="32">
        <f>'Table 5B1_RSD_Orleans'!AU21-'Table 5B1_RSD_Orleans'!AQ21</f>
        <v>1694484</v>
      </c>
      <c r="E17" s="32">
        <f>'Table 5B1_RSD_Orleans'!Y21+'Table 5B1_RSD_Orleans'!AQ21</f>
        <v>-64822.204946788028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s="2" customFormat="1" ht="48.75" customHeight="1">
      <c r="A18" s="35">
        <v>368001</v>
      </c>
      <c r="B18" s="36" t="s">
        <v>20</v>
      </c>
      <c r="C18" s="31">
        <f>'Table 5B1_RSD_Orleans'!AC22-'Table 5B1_RSD_Orleans'!Y22</f>
        <v>1625745.5000924144</v>
      </c>
      <c r="D18" s="32">
        <f>'Table 5B1_RSD_Orleans'!AU22-'Table 5B1_RSD_Orleans'!AQ22</f>
        <v>1985761.5</v>
      </c>
      <c r="E18" s="32">
        <f>'Table 5B1_RSD_Orleans'!Y22+'Table 5B1_RSD_Orleans'!AQ22</f>
        <v>-72219.730092414538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s="2" customFormat="1" ht="29.25">
      <c r="A19" s="35">
        <v>369001</v>
      </c>
      <c r="B19" s="36" t="s">
        <v>82</v>
      </c>
      <c r="C19" s="31">
        <f>'Table 5B1_RSD_Orleans'!AC23-'Table 5B1_RSD_Orleans'!Y23</f>
        <v>2955330.4338619253</v>
      </c>
      <c r="D19" s="32">
        <f>'Table 5B1_RSD_Orleans'!AU23-'Table 5B1_RSD_Orleans'!AQ23</f>
        <v>2853784.5</v>
      </c>
      <c r="E19" s="32">
        <f>'Table 5B1_RSD_Orleans'!Y23+'Table 5B1_RSD_Orleans'!AQ23</f>
        <v>-115998.03386192548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s="2" customFormat="1" ht="30.75" customHeight="1">
      <c r="A20" s="48">
        <v>369002</v>
      </c>
      <c r="B20" s="49" t="s">
        <v>83</v>
      </c>
      <c r="C20" s="50">
        <f>'Table 5B1_RSD_Orleans'!AC24-'Table 5B1_RSD_Orleans'!Y24</f>
        <v>3026491.1681393371</v>
      </c>
      <c r="D20" s="40">
        <f>'Table 5B1_RSD_Orleans'!AU24-'Table 5B1_RSD_Orleans'!AQ24</f>
        <v>3230023.5</v>
      </c>
      <c r="E20" s="40">
        <f>'Table 5B1_RSD_Orleans'!Y24+'Table 5B1_RSD_Orleans'!AQ24</f>
        <v>-125118.60813933694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s="2" customFormat="1" ht="30.75" customHeight="1">
      <c r="A21" s="51">
        <v>369003</v>
      </c>
      <c r="B21" s="52" t="s">
        <v>96</v>
      </c>
      <c r="C21" s="24">
        <f>'Table 5B1_RSD_Orleans'!AC25-'Table 5B1_RSD_Orleans'!Y25</f>
        <v>2804476.5308198445</v>
      </c>
      <c r="D21" s="25">
        <f>'Table 5B1_RSD_Orleans'!AU25-'Table 5B1_RSD_Orleans'!AQ25</f>
        <v>3295608</v>
      </c>
      <c r="E21" s="25">
        <f>'Table 5B1_RSD_Orleans'!Y25+'Table 5B1_RSD_Orleans'!AQ25</f>
        <v>-122001.69081984428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s="2" customFormat="1" ht="30.75" customHeight="1">
      <c r="A22" s="35">
        <v>369004</v>
      </c>
      <c r="B22" s="36" t="s">
        <v>97</v>
      </c>
      <c r="C22" s="31">
        <f>'Table 5B1_RSD_Orleans'!AC26-'Table 5B1_RSD_Orleans'!Y26</f>
        <v>827072.22176335205</v>
      </c>
      <c r="D22" s="32">
        <f>'Table 5B1_RSD_Orleans'!AU26-'Table 5B1_RSD_Orleans'!AQ26</f>
        <v>807345.5</v>
      </c>
      <c r="E22" s="32">
        <f>'Table 5B1_RSD_Orleans'!Y26+'Table 5B1_RSD_Orleans'!AQ26</f>
        <v>-32641.821763352094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s="2" customFormat="1" ht="30.75" customHeight="1">
      <c r="A23" s="35">
        <v>369005</v>
      </c>
      <c r="B23" s="36" t="s">
        <v>98</v>
      </c>
      <c r="C23" s="31">
        <f>'Table 5B1_RSD_Orleans'!AC27-'Table 5B1_RSD_Orleans'!Y27</f>
        <v>768253.02480064007</v>
      </c>
      <c r="D23" s="32">
        <f>'Table 5B1_RSD_Orleans'!AU27-'Table 5B1_RSD_Orleans'!AQ27</f>
        <v>777919.5</v>
      </c>
      <c r="E23" s="32">
        <f>'Table 5B1_RSD_Orleans'!Y27+'Table 5B1_RSD_Orleans'!AQ27</f>
        <v>-31133.504800640021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s="2" customFormat="1" ht="30.75" customHeight="1">
      <c r="A24" s="45">
        <v>369006</v>
      </c>
      <c r="B24" s="46" t="s">
        <v>75</v>
      </c>
      <c r="C24" s="47">
        <f>'Table 5B1_RSD_Orleans'!AC28-'Table 5B1_RSD_Orleans'!Y28</f>
        <v>3464738.7679513143</v>
      </c>
      <c r="D24" s="32">
        <f>'Table 5B1_RSD_Orleans'!AU28-'Table 5B1_RSD_Orleans'!AQ28</f>
        <v>3629370</v>
      </c>
      <c r="E24" s="32">
        <f>'Table 5B1_RSD_Orleans'!Y28+'Table 5B1_RSD_Orleans'!AQ28</f>
        <v>-141882.16795131442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s="2" customFormat="1" ht="30.75" customHeight="1">
      <c r="A25" s="48">
        <v>373001</v>
      </c>
      <c r="B25" s="49" t="s">
        <v>23</v>
      </c>
      <c r="C25" s="50">
        <f>'Table 5B1_RSD_Orleans'!AC29-'Table 5B1_RSD_Orleans'!Y29</f>
        <v>1925147.9613164358</v>
      </c>
      <c r="D25" s="40">
        <f>'Table 5B1_RSD_Orleans'!AU29-'Table 5B1_RSD_Orleans'!AQ29</f>
        <v>2091264</v>
      </c>
      <c r="E25" s="40">
        <f>'Table 5B1_RSD_Orleans'!Y29+'Table 5B1_RSD_Orleans'!AQ29</f>
        <v>-80328.241316435728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s="2" customFormat="1" ht="30.75" customHeight="1">
      <c r="A26" s="53">
        <v>373002</v>
      </c>
      <c r="B26" s="54" t="s">
        <v>74</v>
      </c>
      <c r="C26" s="55">
        <f>'Table 5B1_RSD_Orleans'!AC30-'Table 5B1_RSD_Orleans'!Y30</f>
        <v>1483797.9616866268</v>
      </c>
      <c r="D26" s="25">
        <f>'Table 5B1_RSD_Orleans'!AU30-'Table 5B1_RSD_Orleans'!AQ30</f>
        <v>1769172</v>
      </c>
      <c r="E26" s="25">
        <f>'Table 5B1_RSD_Orleans'!Y30+'Table 5B1_RSD_Orleans'!AQ30</f>
        <v>-65059.401686626814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s="2" customFormat="1" ht="30.75" customHeight="1">
      <c r="A27" s="35">
        <v>374001</v>
      </c>
      <c r="B27" s="36" t="s">
        <v>73</v>
      </c>
      <c r="C27" s="31">
        <f>'Table 5B1_RSD_Orleans'!AC31-'Table 5B1_RSD_Orleans'!Y31</f>
        <v>2037680.6039947234</v>
      </c>
      <c r="D27" s="32">
        <f>'Table 5B1_RSD_Orleans'!AU31-'Table 5B1_RSD_Orleans'!AQ31</f>
        <v>2156616</v>
      </c>
      <c r="E27" s="32">
        <f>'Table 5B1_RSD_Orleans'!Y31+'Table 5B1_RSD_Orleans'!AQ31</f>
        <v>-83885.923994723475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s="2" customFormat="1" ht="33" customHeight="1">
      <c r="A28" s="29">
        <v>381001</v>
      </c>
      <c r="B28" s="30" t="s">
        <v>72</v>
      </c>
      <c r="C28" s="56">
        <f>'Table 5B1_RSD_Orleans'!AC32-'Table 5B1_RSD_Orleans'!Y32</f>
        <v>1997900.0086356218</v>
      </c>
      <c r="D28" s="32">
        <f>'Table 5B1_RSD_Orleans'!AU32-'Table 5B1_RSD_Orleans'!AQ32</f>
        <v>2226636</v>
      </c>
      <c r="E28" s="111">
        <f>'Table 5B1_RSD_Orleans'!Y32+'Table 5B1_RSD_Orleans'!AQ32</f>
        <v>-84490.72863562181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33" customHeight="1">
      <c r="A29" s="35">
        <v>382001</v>
      </c>
      <c r="B29" s="36" t="s">
        <v>64</v>
      </c>
      <c r="C29" s="31">
        <f>'Table 5B1_RSD_Orleans'!AC33-'Table 5B1_RSD_Orleans'!Y33</f>
        <v>2111652.96603593</v>
      </c>
      <c r="D29" s="32">
        <f>'Table 5B1_RSD_Orleans'!AU33-'Table 5B1_RSD_Orleans'!AQ33</f>
        <v>2033851</v>
      </c>
      <c r="E29" s="32">
        <f>'Table 5B1_RSD_Orleans'!Y33+'Table 5B1_RSD_Orleans'!AQ33</f>
        <v>-83560.966035929858</v>
      </c>
    </row>
    <row r="30" spans="1:32" ht="30.75" customHeight="1">
      <c r="A30" s="37">
        <v>382002</v>
      </c>
      <c r="B30" s="38" t="s">
        <v>65</v>
      </c>
      <c r="C30" s="57">
        <f>'Table 5B1_RSD_Orleans'!AC34-'Table 5B1_RSD_Orleans'!Y34</f>
        <v>902607.13800513733</v>
      </c>
      <c r="D30" s="40">
        <f>'Table 5B1_RSD_Orleans'!AU34-'Table 5B1_RSD_Orleans'!AQ34</f>
        <v>970944</v>
      </c>
      <c r="E30" s="40">
        <f>'Table 5B1_RSD_Orleans'!Y34+'Table 5B1_RSD_Orleans'!AQ34</f>
        <v>-37471.018005137339</v>
      </c>
    </row>
    <row r="31" spans="1:32" ht="30.75" customHeight="1">
      <c r="A31" s="22">
        <v>382003</v>
      </c>
      <c r="B31" s="23" t="s">
        <v>66</v>
      </c>
      <c r="C31" s="43">
        <f>'Table 5B1_RSD_Orleans'!AC35-'Table 5B1_RSD_Orleans'!Y35</f>
        <v>865544.90714269108</v>
      </c>
      <c r="D31" s="25">
        <f>'Table 5B1_RSD_Orleans'!AU35-'Table 5B1_RSD_Orleans'!AQ35</f>
        <v>893922</v>
      </c>
      <c r="E31" s="25">
        <f>'Table 5B1_RSD_Orleans'!Y35+'Table 5B1_RSD_Orleans'!AQ35</f>
        <v>-35189.347142691098</v>
      </c>
    </row>
    <row r="32" spans="1:32" ht="30.75" customHeight="1">
      <c r="A32" s="35">
        <v>384001</v>
      </c>
      <c r="B32" s="36" t="s">
        <v>24</v>
      </c>
      <c r="C32" s="31">
        <f>'Table 5B1_RSD_Orleans'!AC36-'Table 5B1_RSD_Orleans'!Y36</f>
        <v>1498681.3695048543</v>
      </c>
      <c r="D32" s="32">
        <f>'Table 5B1_RSD_Orleans'!AU36-'Table 5B1_RSD_Orleans'!AQ36</f>
        <v>1508940.5</v>
      </c>
      <c r="E32" s="32">
        <f>'Table 5B1_RSD_Orleans'!Y36+'Table 5B1_RSD_Orleans'!AQ36</f>
        <v>-60638.049504854258</v>
      </c>
    </row>
    <row r="33" spans="1:32" ht="30.75" customHeight="1">
      <c r="A33" s="35">
        <v>385001</v>
      </c>
      <c r="B33" s="36" t="s">
        <v>76</v>
      </c>
      <c r="C33" s="56">
        <f>'Table 5B1_RSD_Orleans'!AC37-'Table 5B1_RSD_Orleans'!Y37</f>
        <v>1265516.6605571792</v>
      </c>
      <c r="D33" s="32">
        <f>'Table 5B1_RSD_Orleans'!AU37-'Table 5B1_RSD_Orleans'!AQ37</f>
        <v>1498428</v>
      </c>
      <c r="E33" s="32">
        <f>'Table 5B1_RSD_Orleans'!Y37+'Table 5B1_RSD_Orleans'!AQ37</f>
        <v>-55349.220557179244</v>
      </c>
    </row>
    <row r="34" spans="1:32" ht="29.25">
      <c r="A34" s="29">
        <v>385002</v>
      </c>
      <c r="B34" s="30" t="s">
        <v>99</v>
      </c>
      <c r="C34" s="56">
        <f>'Table 5B1_RSD_Orleans'!AC38-'Table 5B1_RSD_Orleans'!Y38</f>
        <v>2389199.9913941687</v>
      </c>
      <c r="D34" s="32">
        <f>'Table 5B1_RSD_Orleans'!AU38-'Table 5B1_RSD_Orleans'!AQ38</f>
        <v>2359674</v>
      </c>
      <c r="E34" s="32">
        <f>'Table 5B1_RSD_Orleans'!Y38+'Table 5B1_RSD_Orleans'!AQ38</f>
        <v>-94977.471394168475</v>
      </c>
    </row>
    <row r="35" spans="1:32" ht="33" customHeight="1">
      <c r="A35" s="58">
        <v>385003</v>
      </c>
      <c r="B35" s="59" t="s">
        <v>100</v>
      </c>
      <c r="C35" s="60">
        <f>'Table 5B1_RSD_Orleans'!AC39-'Table 5B1_RSD_Orleans'!Y39</f>
        <v>1028881.6285572934</v>
      </c>
      <c r="D35" s="40">
        <f>'Table 5B1_RSD_Orleans'!AU39-'Table 5B1_RSD_Orleans'!AQ39</f>
        <v>1293036</v>
      </c>
      <c r="E35" s="40">
        <f>'Table 5B1_RSD_Orleans'!Y39+'Table 5B1_RSD_Orleans'!AQ39</f>
        <v>-46438.348557293386</v>
      </c>
    </row>
    <row r="36" spans="1:32" ht="30.75" customHeight="1">
      <c r="A36" s="51">
        <v>388001</v>
      </c>
      <c r="B36" s="52" t="s">
        <v>104</v>
      </c>
      <c r="C36" s="24">
        <f>'Table 5B1_RSD_Orleans'!AC40-'Table 5B1_RSD_Orleans'!Y40</f>
        <v>2401590.6059940704</v>
      </c>
      <c r="D36" s="25">
        <f>'Table 5B1_RSD_Orleans'!AU40-'Table 5B1_RSD_Orleans'!AQ40</f>
        <v>2793333</v>
      </c>
      <c r="E36" s="25">
        <f>'Table 5B1_RSD_Orleans'!Y40+'Table 5B1_RSD_Orleans'!AQ40</f>
        <v>-103735.20599407059</v>
      </c>
    </row>
    <row r="37" spans="1:32" ht="47.25" customHeight="1">
      <c r="A37" s="35">
        <v>390001</v>
      </c>
      <c r="B37" s="36" t="s">
        <v>25</v>
      </c>
      <c r="C37" s="31">
        <f>'Table 5B1_RSD_Orleans'!AC41-'Table 5B1_RSD_Orleans'!Y41</f>
        <v>1861953.0534059401</v>
      </c>
      <c r="D37" s="32">
        <f>'Table 5B1_RSD_Orleans'!AU41-'Table 5B1_RSD_Orleans'!AQ41</f>
        <v>2830593</v>
      </c>
      <c r="E37" s="32">
        <f>'Table 5B1_RSD_Orleans'!Y41+'Table 5B1_RSD_Orleans'!AQ41</f>
        <v>-93850.91340594014</v>
      </c>
    </row>
    <row r="38" spans="1:32" ht="30.75" customHeight="1">
      <c r="A38" s="35">
        <v>391001</v>
      </c>
      <c r="B38" s="36" t="s">
        <v>26</v>
      </c>
      <c r="C38" s="31">
        <f>'Table 5B1_RSD_Orleans'!AC42-'Table 5B1_RSD_Orleans'!Y42</f>
        <v>2640301.0222186274</v>
      </c>
      <c r="D38" s="32">
        <f>'Table 5B1_RSD_Orleans'!AU42-'Table 5B1_RSD_Orleans'!AQ42</f>
        <v>3409974</v>
      </c>
      <c r="E38" s="32">
        <f>'Table 5B1_RSD_Orleans'!Y42+'Table 5B1_RSD_Orleans'!AQ42</f>
        <v>-121005.50221862746</v>
      </c>
    </row>
    <row r="39" spans="1:32" ht="30.75" customHeight="1">
      <c r="A39" s="29">
        <v>391002</v>
      </c>
      <c r="B39" s="30" t="s">
        <v>101</v>
      </c>
      <c r="C39" s="56">
        <f>'Table 5B1_RSD_Orleans'!AC43-'Table 5B1_RSD_Orleans'!Y43</f>
        <v>1672912.2426177824</v>
      </c>
      <c r="D39" s="32">
        <f>'Table 5B1_RSD_Orleans'!AU43-'Table 5B1_RSD_Orleans'!AQ43</f>
        <v>1741164</v>
      </c>
      <c r="E39" s="32">
        <f>'Table 5B1_RSD_Orleans'!Y43+'Table 5B1_RSD_Orleans'!AQ43</f>
        <v>-68281.522617782379</v>
      </c>
    </row>
    <row r="40" spans="1:32" s="61" customFormat="1" ht="30.75" customHeight="1">
      <c r="A40" s="48">
        <v>392001</v>
      </c>
      <c r="B40" s="49" t="s">
        <v>103</v>
      </c>
      <c r="C40" s="50">
        <f>'Table 5B1_RSD_Orleans'!AC44-'Table 5B1_RSD_Orleans'!Y44</f>
        <v>1648589.3181967051</v>
      </c>
      <c r="D40" s="40">
        <f>'Table 5B1_RSD_Orleans'!AU44-'Table 5B1_RSD_Orleans'!AQ44</f>
        <v>2095467</v>
      </c>
      <c r="E40" s="40">
        <f>'Table 5B1_RSD_Orleans'!Y44+'Table 5B1_RSD_Orleans'!AQ44</f>
        <v>-75057.598196705119</v>
      </c>
    </row>
    <row r="41" spans="1:32" ht="30.75" customHeight="1">
      <c r="A41" s="51">
        <v>393001</v>
      </c>
      <c r="B41" s="52" t="s">
        <v>28</v>
      </c>
      <c r="C41" s="24">
        <f>'Table 5B1_RSD_Orleans'!AC45-'Table 5B1_RSD_Orleans'!Y45</f>
        <v>3533155.8230701149</v>
      </c>
      <c r="D41" s="25">
        <f>'Table 5B1_RSD_Orleans'!AU45-'Table 5B1_RSD_Orleans'!AQ45</f>
        <v>4114609.5</v>
      </c>
      <c r="E41" s="25">
        <f>'Table 5B1_RSD_Orleans'!Y45+'Table 5B1_RSD_Orleans'!AQ45</f>
        <v>-152872.98307011515</v>
      </c>
    </row>
    <row r="42" spans="1:32" ht="30.75" customHeight="1">
      <c r="A42" s="35">
        <v>393002</v>
      </c>
      <c r="B42" s="36" t="s">
        <v>29</v>
      </c>
      <c r="C42" s="31">
        <f>'Table 5B1_RSD_Orleans'!AC46-'Table 5B1_RSD_Orleans'!Y46</f>
        <v>2042521.4898756726</v>
      </c>
      <c r="D42" s="32">
        <f>'Table 5B1_RSD_Orleans'!AU46-'Table 5B1_RSD_Orleans'!AQ46</f>
        <v>2233405.5</v>
      </c>
      <c r="E42" s="32">
        <f>'Table 5B1_RSD_Orleans'!Y46+'Table 5B1_RSD_Orleans'!AQ46</f>
        <v>-85437.569875672663</v>
      </c>
    </row>
    <row r="43" spans="1:32" ht="30.75" customHeight="1">
      <c r="A43" s="29">
        <v>393003</v>
      </c>
      <c r="B43" s="30" t="s">
        <v>102</v>
      </c>
      <c r="C43" s="56">
        <f>'Table 5B1_RSD_Orleans'!AC47-'Table 5B1_RSD_Orleans'!Y47</f>
        <v>1781402.037961036</v>
      </c>
      <c r="D43" s="32">
        <f>'Table 5B1_RSD_Orleans'!AU47-'Table 5B1_RSD_Orleans'!AQ47</f>
        <v>2056254</v>
      </c>
      <c r="E43" s="32">
        <f>'Table 5B1_RSD_Orleans'!Y47+'Table 5B1_RSD_Orleans'!AQ47</f>
        <v>-76753.117961035896</v>
      </c>
    </row>
    <row r="44" spans="1:32" ht="30.75" customHeight="1">
      <c r="A44" s="35">
        <v>395001</v>
      </c>
      <c r="B44" s="36" t="s">
        <v>30</v>
      </c>
      <c r="C44" s="31">
        <f>'Table 5B1_RSD_Orleans'!AC48-'Table 5B1_RSD_Orleans'!Y48</f>
        <v>2665114.4612558293</v>
      </c>
      <c r="D44" s="32">
        <f>'Table 5B1_RSD_Orleans'!AU48-'Table 5B1_RSD_Orleans'!AQ48</f>
        <v>3179612.5</v>
      </c>
      <c r="E44" s="32">
        <f>'Table 5B1_RSD_Orleans'!Y48+'Table 5B1_RSD_Orleans'!AQ48</f>
        <v>-117404.66125582953</v>
      </c>
    </row>
    <row r="45" spans="1:32" s="2" customFormat="1" ht="30.75" customHeight="1">
      <c r="A45" s="48">
        <v>395002</v>
      </c>
      <c r="B45" s="49" t="s">
        <v>31</v>
      </c>
      <c r="C45" s="50">
        <f>'Table 5B1_RSD_Orleans'!AC49-'Table 5B1_RSD_Orleans'!Y49</f>
        <v>2949589.6556556281</v>
      </c>
      <c r="D45" s="40">
        <f>'Table 5B1_RSD_Orleans'!AU49-'Table 5B1_RSD_Orleans'!AQ49</f>
        <v>3597173</v>
      </c>
      <c r="E45" s="40">
        <f>'Table 5B1_RSD_Orleans'!Y49+'Table 5B1_RSD_Orleans'!AQ49</f>
        <v>-131096.89565562803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s="2" customFormat="1" ht="30.75" customHeight="1">
      <c r="A46" s="51">
        <v>395003</v>
      </c>
      <c r="B46" s="52" t="s">
        <v>32</v>
      </c>
      <c r="C46" s="24">
        <f>'Table 5B1_RSD_Orleans'!AC50-'Table 5B1_RSD_Orleans'!Y50</f>
        <v>2462300.1814287822</v>
      </c>
      <c r="D46" s="25">
        <f>'Table 5B1_RSD_Orleans'!AU50-'Table 5B1_RSD_Orleans'!AQ50</f>
        <v>2828409</v>
      </c>
      <c r="E46" s="25">
        <f>'Table 5B1_RSD_Orleans'!Y50+'Table 5B1_RSD_Orleans'!AQ50</f>
        <v>-107337.22142878197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s="2" customFormat="1" ht="30.75" customHeight="1">
      <c r="A47" s="35">
        <v>395004</v>
      </c>
      <c r="B47" s="36" t="s">
        <v>105</v>
      </c>
      <c r="C47" s="31">
        <f>'Table 5B1_RSD_Orleans'!AC51-'Table 5B1_RSD_Orleans'!Y51</f>
        <v>2263348.3630679771</v>
      </c>
      <c r="D47" s="32">
        <f>'Table 5B1_RSD_Orleans'!AU51-'Table 5B1_RSD_Orleans'!AQ51</f>
        <v>2565106</v>
      </c>
      <c r="E47" s="32">
        <f>'Table 5B1_RSD_Orleans'!Y51+'Table 5B1_RSD_Orleans'!AQ51</f>
        <v>-97468.803067977075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s="2" customFormat="1" ht="30.75" customHeight="1">
      <c r="A48" s="35">
        <v>395005</v>
      </c>
      <c r="B48" s="36" t="s">
        <v>34</v>
      </c>
      <c r="C48" s="31">
        <f>'Table 5B1_RSD_Orleans'!AC52-'Table 5B1_RSD_Orleans'!Y52</f>
        <v>4754476.9681907305</v>
      </c>
      <c r="D48" s="32">
        <f>'Table 5B1_RSD_Orleans'!AU52-'Table 5B1_RSD_Orleans'!AQ52</f>
        <v>5374134.5</v>
      </c>
      <c r="E48" s="32">
        <f>'Table 5B1_RSD_Orleans'!Y52+'Table 5B1_RSD_Orleans'!AQ52</f>
        <v>-206535.20819073089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s="2" customFormat="1" ht="30.75" customHeight="1">
      <c r="A49" s="35">
        <v>395007</v>
      </c>
      <c r="B49" s="36" t="s">
        <v>35</v>
      </c>
      <c r="C49" s="31">
        <f>'Table 5B1_RSD_Orleans'!AC53-'Table 5B1_RSD_Orleans'!Y53</f>
        <v>1100050.5494377331</v>
      </c>
      <c r="D49" s="32">
        <f>'Table 5B1_RSD_Orleans'!AU53-'Table 5B1_RSD_Orleans'!AQ53</f>
        <v>1066659</v>
      </c>
      <c r="E49" s="32">
        <f>'Table 5B1_RSD_Orleans'!Y53+'Table 5B1_RSD_Orleans'!AQ53</f>
        <v>-43692.309437733151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s="2" customFormat="1" ht="30.75" customHeight="1">
      <c r="A50" s="48">
        <v>397001</v>
      </c>
      <c r="B50" s="49" t="s">
        <v>36</v>
      </c>
      <c r="C50" s="50">
        <f>'Table 5B1_RSD_Orleans'!AC54-'Table 5B1_RSD_Orleans'!Y54</f>
        <v>1778663.2581896652</v>
      </c>
      <c r="D50" s="40">
        <f>'Table 5B1_RSD_Orleans'!AU54-'Table 5B1_RSD_Orleans'!AQ54</f>
        <v>2140278</v>
      </c>
      <c r="E50" s="40">
        <f>'Table 5B1_RSD_Orleans'!Y54+'Table 5B1_RSD_Orleans'!AQ54</f>
        <v>-78378.818189665224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s="2" customFormat="1" ht="30.75" customHeight="1">
      <c r="A51" s="51">
        <v>398001</v>
      </c>
      <c r="B51" s="52" t="s">
        <v>37</v>
      </c>
      <c r="C51" s="24">
        <f>'Table 5B1_RSD_Orleans'!AC55-'Table 5B1_RSD_Orleans'!Y55</f>
        <v>2820036.5171273667</v>
      </c>
      <c r="D51" s="25">
        <f>'Table 5B1_RSD_Orleans'!AU55-'Table 5B1_RSD_Orleans'!AQ55</f>
        <v>3351624</v>
      </c>
      <c r="E51" s="25">
        <f>'Table 5B1_RSD_Orleans'!Y55+'Table 5B1_RSD_Orleans'!AQ55</f>
        <v>-123601.99712736656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s="2" customFormat="1" ht="29.25">
      <c r="A52" s="35">
        <v>398002</v>
      </c>
      <c r="B52" s="36" t="s">
        <v>38</v>
      </c>
      <c r="C52" s="31">
        <f>'Table 5B1_RSD_Orleans'!AC56-'Table 5B1_RSD_Orleans'!Y56</f>
        <v>3874206.8264599787</v>
      </c>
      <c r="D52" s="32">
        <f>'Table 5B1_RSD_Orleans'!AU56-'Table 5B1_RSD_Orleans'!AQ56</f>
        <v>4079134.5</v>
      </c>
      <c r="E52" s="32">
        <f>'Table 5B1_RSD_Orleans'!Y56+'Table 5B1_RSD_Orleans'!AQ56</f>
        <v>-158821.4264599788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s="2" customFormat="1" ht="30.75" customHeight="1">
      <c r="A53" s="35">
        <v>398003</v>
      </c>
      <c r="B53" s="36" t="s">
        <v>39</v>
      </c>
      <c r="C53" s="31">
        <f>'Table 5B1_RSD_Orleans'!AC57-'Table 5B1_RSD_Orleans'!Y57</f>
        <v>1817770.7409755681</v>
      </c>
      <c r="D53" s="32">
        <f>'Table 5B1_RSD_Orleans'!AU57-'Table 5B1_RSD_Orleans'!AQ57</f>
        <v>2001874.5</v>
      </c>
      <c r="E53" s="32">
        <f>'Table 5B1_RSD_Orleans'!Y57+'Table 5B1_RSD_Orleans'!AQ57</f>
        <v>-76292.140975568138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s="2" customFormat="1" ht="30.75" customHeight="1">
      <c r="A54" s="35">
        <v>398004</v>
      </c>
      <c r="B54" s="36" t="s">
        <v>40</v>
      </c>
      <c r="C54" s="31">
        <f>'Table 5B1_RSD_Orleans'!AC58-'Table 5B1_RSD_Orleans'!Y58</f>
        <v>2069573.4726211186</v>
      </c>
      <c r="D54" s="32">
        <f>'Table 5B1_RSD_Orleans'!AU58-'Table 5B1_RSD_Orleans'!AQ58</f>
        <v>2443698</v>
      </c>
      <c r="E54" s="32">
        <f>'Table 5B1_RSD_Orleans'!Y58+'Table 5B1_RSD_Orleans'!AQ58</f>
        <v>-90265.432621118554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s="2" customFormat="1" ht="30.75" customHeight="1">
      <c r="A55" s="48">
        <v>398005</v>
      </c>
      <c r="B55" s="49" t="s">
        <v>41</v>
      </c>
      <c r="C55" s="50">
        <f>'Table 5B1_RSD_Orleans'!AC59-'Table 5B1_RSD_Orleans'!Y59</f>
        <v>1959739.154052113</v>
      </c>
      <c r="D55" s="40">
        <f>'Table 5B1_RSD_Orleans'!AU59-'Table 5B1_RSD_Orleans'!AQ59</f>
        <v>1996741.5</v>
      </c>
      <c r="E55" s="40">
        <f>'Table 5B1_RSD_Orleans'!Y59+'Table 5B1_RSD_Orleans'!AQ59</f>
        <v>-78910.834052112943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s="2" customFormat="1" ht="30.75" customHeight="1">
      <c r="A56" s="51">
        <v>398006</v>
      </c>
      <c r="B56" s="52" t="s">
        <v>42</v>
      </c>
      <c r="C56" s="24">
        <f>'Table 5B1_RSD_Orleans'!AC60-'Table 5B1_RSD_Orleans'!Y60</f>
        <v>3391877.5930265812</v>
      </c>
      <c r="D56" s="25">
        <f>'Table 5B1_RSD_Orleans'!AU60-'Table 5B1_RSD_Orleans'!AQ60</f>
        <v>3633573</v>
      </c>
      <c r="E56" s="25">
        <f>'Table 5B1_RSD_Orleans'!Y60+'Table 5B1_RSD_Orleans'!AQ60</f>
        <v>-140344.99302658119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s="2" customFormat="1" ht="30.75" customHeight="1">
      <c r="A57" s="35">
        <v>399001</v>
      </c>
      <c r="B57" s="36" t="s">
        <v>70</v>
      </c>
      <c r="C57" s="31">
        <f>'Table 5B1_RSD_Orleans'!AC61-'Table 5B1_RSD_Orleans'!Y61</f>
        <v>2398373.8031846657</v>
      </c>
      <c r="D57" s="32">
        <f>'Table 5B1_RSD_Orleans'!AU61-'Table 5B1_RSD_Orleans'!AQ61</f>
        <v>2261646</v>
      </c>
      <c r="E57" s="32">
        <f>'Table 5B1_RSD_Orleans'!Y61+'Table 5B1_RSD_Orleans'!AQ61</f>
        <v>-93270.723184665942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s="2" customFormat="1" ht="30.75" customHeight="1">
      <c r="A58" s="35">
        <v>399002</v>
      </c>
      <c r="B58" s="36" t="s">
        <v>85</v>
      </c>
      <c r="C58" s="63">
        <f>'Table 5B1_RSD_Orleans'!AC62-'Table 5B1_RSD_Orleans'!Y62</f>
        <v>2600138.0740711079</v>
      </c>
      <c r="D58" s="32">
        <f>'Table 5B1_RSD_Orleans'!AU62-'Table 5B1_RSD_Orleans'!AQ62</f>
        <v>2742682.5</v>
      </c>
      <c r="E58" s="32">
        <f>'Table 5B1_RSD_Orleans'!Y62+'Table 5B1_RSD_Orleans'!AQ62</f>
        <v>-107211.75407110786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s="2" customFormat="1" ht="30.75" customHeight="1">
      <c r="A59" s="35">
        <v>399003</v>
      </c>
      <c r="B59" s="36" t="s">
        <v>69</v>
      </c>
      <c r="C59" s="63">
        <f>'Table 5B1_RSD_Orleans'!AC63-'Table 5B1_RSD_Orleans'!Y63</f>
        <v>2096408.3780720211</v>
      </c>
      <c r="D59" s="32">
        <f>'Table 5B1_RSD_Orleans'!AU63-'Table 5B1_RSD_Orleans'!AQ63</f>
        <v>1806530</v>
      </c>
      <c r="E59" s="32">
        <f>'Table 5B1_RSD_Orleans'!Y63+'Table 5B1_RSD_Orleans'!AQ63</f>
        <v>-78085.698072021114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s="2" customFormat="1" ht="30.75" customHeight="1">
      <c r="A60" s="48">
        <v>399004</v>
      </c>
      <c r="B60" s="49" t="s">
        <v>68</v>
      </c>
      <c r="C60" s="64">
        <f>'Table 5B1_RSD_Orleans'!AC64-'Table 5B1_RSD_Orleans'!Y64</f>
        <v>2245757.47598603</v>
      </c>
      <c r="D60" s="40">
        <f>'Table 5B1_RSD_Orleans'!AU64-'Table 5B1_RSD_Orleans'!AQ64</f>
        <v>2334000</v>
      </c>
      <c r="E60" s="40">
        <f>'Table 5B1_RSD_Orleans'!Y64+'Table 5B1_RSD_Orleans'!AQ64</f>
        <v>-91665.475986029953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30.75" customHeight="1">
      <c r="A61" s="65">
        <v>399005</v>
      </c>
      <c r="B61" s="66" t="s">
        <v>43</v>
      </c>
      <c r="C61" s="67">
        <f>'Table 5B1_RSD_Orleans'!AC65-'Table 5B1_RSD_Orleans'!Y65</f>
        <v>3231306.1307039522</v>
      </c>
      <c r="D61" s="68">
        <f>'Table 5B1_RSD_Orleans'!AU65-'Table 5B1_RSD_Orleans'!AQ65</f>
        <v>3599028</v>
      </c>
      <c r="E61" s="13">
        <f>'Table 5B1_RSD_Orleans'!Y65+'Table 5B1_RSD_Orleans'!AQ65</f>
        <v>-136606.69070395199</v>
      </c>
    </row>
    <row r="62" spans="1:32" ht="32.25" customHeight="1">
      <c r="A62" s="70" t="s">
        <v>44</v>
      </c>
      <c r="B62" s="71" t="s">
        <v>45</v>
      </c>
      <c r="C62" s="72">
        <f>'Table 5B1_RSD_Orleans'!AC66-'Table 5B1_RSD_Orleans'!Y66</f>
        <v>2215840.8079454903</v>
      </c>
      <c r="D62" s="68">
        <f>'Table 5B1_RSD_Orleans'!AU66-'Table 5B1_RSD_Orleans'!AQ66</f>
        <v>2772792</v>
      </c>
      <c r="E62" s="13">
        <f>'Table 5B1_RSD_Orleans'!Y66+'Table 5B1_RSD_Orleans'!AQ66</f>
        <v>-99772.647945490447</v>
      </c>
    </row>
    <row r="63" spans="1:32" s="78" customFormat="1" ht="22.5" customHeight="1">
      <c r="A63" s="20"/>
      <c r="B63" s="21" t="s">
        <v>46</v>
      </c>
      <c r="C63" s="73">
        <f>SUM(C6:C62)</f>
        <v>117725827.33417255</v>
      </c>
      <c r="D63" s="74">
        <f>SUM(D6:D62)</f>
        <v>132240078</v>
      </c>
      <c r="E63" s="74">
        <f>SUM(E6:E62)</f>
        <v>-5012449.2141725523</v>
      </c>
    </row>
  </sheetData>
  <mergeCells count="7">
    <mergeCell ref="D3:D4"/>
    <mergeCell ref="A2:E2"/>
    <mergeCell ref="A1:E1"/>
    <mergeCell ref="A3:A4"/>
    <mergeCell ref="B3:B4"/>
    <mergeCell ref="C3:C4"/>
    <mergeCell ref="E3:E4"/>
  </mergeCells>
  <printOptions horizontalCentered="1"/>
  <pageMargins left="0.2" right="0.2" top="0.55000000000000004" bottom="0.9" header="0.32" footer="0.19"/>
  <pageSetup paperSize="5" scale="56" firstPageNumber="46" fitToHeight="2" orientation="portrait" useFirstPageNumber="1" r:id="rId1"/>
  <headerFooter alignWithMargins="0">
    <oddHeader xml:space="preserve">&amp;R
</oddHeader>
    <oddFooter>&amp;R&amp;16&amp;P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8"/>
  <sheetViews>
    <sheetView tabSelected="1" view="pageBreakPreview" zoomScale="70" zoomScaleNormal="75" zoomScaleSheetLayoutView="70" workbookViewId="0">
      <pane xSplit="2" ySplit="6" topLeftCell="C7" activePane="bottomRight" state="frozen"/>
      <selection activeCell="B3" sqref="B3:B5"/>
      <selection pane="topRight" activeCell="B3" sqref="B3:B5"/>
      <selection pane="bottomLeft" activeCell="B3" sqref="B3:B5"/>
      <selection pane="bottomRight" activeCell="BG4" sqref="BG4"/>
    </sheetView>
  </sheetViews>
  <sheetFormatPr defaultColWidth="9.140625" defaultRowHeight="12.75"/>
  <cols>
    <col min="1" max="1" width="8.7109375" style="1" customWidth="1"/>
    <col min="2" max="2" width="38" style="1" customWidth="1"/>
    <col min="3" max="3" width="14.42578125" style="1" bestFit="1" customWidth="1"/>
    <col min="4" max="4" width="17" style="1" bestFit="1" customWidth="1"/>
    <col min="5" max="5" width="15" style="1" bestFit="1" customWidth="1"/>
    <col min="6" max="6" width="17" style="1" bestFit="1" customWidth="1"/>
    <col min="7" max="7" width="18.5703125" style="1" bestFit="1" customWidth="1"/>
    <col min="8" max="8" width="12.28515625" style="1" customWidth="1"/>
    <col min="9" max="9" width="13.85546875" style="1" bestFit="1" customWidth="1"/>
    <col min="10" max="10" width="12.28515625" style="1" customWidth="1"/>
    <col min="11" max="11" width="14.7109375" style="1" bestFit="1" customWidth="1"/>
    <col min="12" max="12" width="12.28515625" style="1" customWidth="1"/>
    <col min="13" max="13" width="15.28515625" style="1" bestFit="1" customWidth="1"/>
    <col min="14" max="14" width="14.7109375" style="1" bestFit="1" customWidth="1"/>
    <col min="15" max="20" width="18.28515625" style="1" customWidth="1"/>
    <col min="21" max="21" width="14.28515625" style="1" bestFit="1" customWidth="1"/>
    <col min="22" max="22" width="18.28515625" style="1" customWidth="1"/>
    <col min="23" max="23" width="14.28515625" style="1" bestFit="1" customWidth="1"/>
    <col min="24" max="24" width="12.28515625" style="1" bestFit="1" customWidth="1"/>
    <col min="25" max="25" width="14.28515625" style="1" bestFit="1" customWidth="1"/>
    <col min="26" max="26" width="15.28515625" style="1" bestFit="1" customWidth="1"/>
    <col min="27" max="28" width="16.28515625" style="1" customWidth="1"/>
    <col min="29" max="29" width="20.140625" style="1" bestFit="1" customWidth="1"/>
    <col min="30" max="32" width="20.140625" style="1" customWidth="1"/>
    <col min="33" max="33" width="16" style="1" bestFit="1" customWidth="1"/>
    <col min="34" max="34" width="15.5703125" style="1" bestFit="1" customWidth="1"/>
    <col min="35" max="39" width="15.5703125" style="1" customWidth="1"/>
    <col min="40" max="40" width="18.5703125" style="1" customWidth="1"/>
    <col min="41" max="41" width="14.28515625" style="1" bestFit="1" customWidth="1"/>
    <col min="42" max="42" width="13.7109375" style="1" customWidth="1"/>
    <col min="43" max="43" width="15.42578125" style="1" bestFit="1" customWidth="1"/>
    <col min="44" max="44" width="18.5703125" style="1" bestFit="1" customWidth="1"/>
    <col min="45" max="46" width="15.7109375" style="1" customWidth="1"/>
    <col min="47" max="47" width="18.5703125" style="1" bestFit="1" customWidth="1"/>
    <col min="48" max="50" width="18.5703125" style="1" customWidth="1"/>
    <col min="51" max="51" width="18.5703125" style="2" bestFit="1" customWidth="1"/>
    <col min="52" max="52" width="17.85546875" style="2" customWidth="1"/>
    <col min="53" max="54" width="18.5703125" style="2" hidden="1" customWidth="1"/>
    <col min="55" max="57" width="9.140625" style="1" hidden="1" customWidth="1"/>
    <col min="58" max="16384" width="9.140625" style="1"/>
  </cols>
  <sheetData>
    <row r="1" spans="1:56" ht="43.5" hidden="1" customHeight="1">
      <c r="A1" s="477"/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AA1" s="478"/>
      <c r="AB1" s="478"/>
      <c r="AC1" s="479"/>
      <c r="AD1" s="442"/>
      <c r="AE1" s="442"/>
      <c r="AF1" s="442"/>
    </row>
    <row r="2" spans="1:56" ht="10.5" customHeight="1">
      <c r="A2" s="3"/>
      <c r="B2" s="3"/>
      <c r="C2" s="3"/>
      <c r="D2" s="3"/>
      <c r="E2" s="4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56" ht="45" customHeight="1">
      <c r="C3" s="5"/>
      <c r="D3" s="100"/>
      <c r="E3" s="492" t="s">
        <v>138</v>
      </c>
      <c r="F3" s="493"/>
      <c r="G3" s="6"/>
      <c r="H3" s="494" t="s">
        <v>121</v>
      </c>
      <c r="I3" s="495"/>
      <c r="J3" s="495"/>
      <c r="K3" s="495"/>
      <c r="L3" s="495"/>
      <c r="M3" s="495"/>
      <c r="N3" s="496"/>
      <c r="O3" s="131"/>
      <c r="P3" s="513" t="s">
        <v>122</v>
      </c>
      <c r="Q3" s="514"/>
      <c r="R3" s="514"/>
      <c r="S3" s="514"/>
      <c r="T3" s="514"/>
      <c r="U3" s="515"/>
      <c r="V3" s="130"/>
      <c r="W3" s="486" t="s">
        <v>51</v>
      </c>
      <c r="X3" s="486"/>
      <c r="Y3" s="487"/>
      <c r="Z3" s="6"/>
      <c r="AA3" s="497" t="s">
        <v>123</v>
      </c>
      <c r="AB3" s="498"/>
      <c r="AC3" s="7"/>
      <c r="AD3" s="7"/>
      <c r="AE3" s="7"/>
      <c r="AF3" s="7"/>
      <c r="AG3" s="511"/>
      <c r="AH3" s="511"/>
      <c r="AI3" s="520" t="s">
        <v>132</v>
      </c>
      <c r="AJ3" s="521"/>
      <c r="AK3" s="521"/>
      <c r="AL3" s="521"/>
      <c r="AM3" s="522"/>
      <c r="AN3" s="113"/>
      <c r="AO3" s="494" t="s">
        <v>134</v>
      </c>
      <c r="AP3" s="524"/>
      <c r="AQ3" s="525"/>
      <c r="AR3" s="7"/>
      <c r="AS3" s="497" t="s">
        <v>136</v>
      </c>
      <c r="AT3" s="498"/>
      <c r="AU3" s="7"/>
      <c r="AV3" s="7"/>
      <c r="AW3" s="7"/>
      <c r="AX3" s="7"/>
      <c r="BA3" s="62">
        <f>AX68-BB3</f>
        <v>4664125.182520831</v>
      </c>
      <c r="BB3" s="468">
        <v>7206672</v>
      </c>
      <c r="BC3" s="519" t="s">
        <v>61</v>
      </c>
      <c r="BD3" s="519"/>
    </row>
    <row r="4" spans="1:56" ht="195" customHeight="1">
      <c r="A4" s="469" t="s">
        <v>0</v>
      </c>
      <c r="B4" s="469" t="s">
        <v>1</v>
      </c>
      <c r="C4" s="469" t="s">
        <v>2</v>
      </c>
      <c r="D4" s="101" t="s">
        <v>48</v>
      </c>
      <c r="E4" s="469" t="s">
        <v>3</v>
      </c>
      <c r="F4" s="469" t="s">
        <v>4</v>
      </c>
      <c r="G4" s="482" t="s">
        <v>106</v>
      </c>
      <c r="H4" s="507" t="s">
        <v>107</v>
      </c>
      <c r="I4" s="125" t="s">
        <v>108</v>
      </c>
      <c r="J4" s="507" t="s">
        <v>109</v>
      </c>
      <c r="K4" s="125" t="s">
        <v>110</v>
      </c>
      <c r="L4" s="507" t="s">
        <v>111</v>
      </c>
      <c r="M4" s="125" t="s">
        <v>112</v>
      </c>
      <c r="N4" s="503" t="s">
        <v>113</v>
      </c>
      <c r="O4" s="512" t="s">
        <v>114</v>
      </c>
      <c r="P4" s="507" t="s">
        <v>115</v>
      </c>
      <c r="Q4" s="507" t="s">
        <v>116</v>
      </c>
      <c r="R4" s="132" t="s">
        <v>117</v>
      </c>
      <c r="S4" s="507" t="s">
        <v>118</v>
      </c>
      <c r="T4" s="503" t="s">
        <v>119</v>
      </c>
      <c r="U4" s="490" t="s">
        <v>131</v>
      </c>
      <c r="V4" s="512" t="s">
        <v>120</v>
      </c>
      <c r="W4" s="108" t="s">
        <v>52</v>
      </c>
      <c r="X4" s="108" t="s">
        <v>53</v>
      </c>
      <c r="Y4" s="488" t="s">
        <v>54</v>
      </c>
      <c r="Z4" s="482" t="s">
        <v>55</v>
      </c>
      <c r="AA4" s="484" t="s">
        <v>5</v>
      </c>
      <c r="AB4" s="484" t="s">
        <v>376</v>
      </c>
      <c r="AC4" s="503" t="s">
        <v>124</v>
      </c>
      <c r="AD4" s="443" t="s">
        <v>378</v>
      </c>
      <c r="AE4" s="443" t="s">
        <v>379</v>
      </c>
      <c r="AF4" s="443" t="s">
        <v>380</v>
      </c>
      <c r="AG4" s="136" t="s">
        <v>125</v>
      </c>
      <c r="AH4" s="136" t="s">
        <v>126</v>
      </c>
      <c r="AI4" s="503" t="s">
        <v>127</v>
      </c>
      <c r="AJ4" s="503" t="s">
        <v>128</v>
      </c>
      <c r="AK4" s="530" t="s">
        <v>129</v>
      </c>
      <c r="AL4" s="530" t="s">
        <v>130</v>
      </c>
      <c r="AM4" s="490" t="s">
        <v>131</v>
      </c>
      <c r="AN4" s="523" t="s">
        <v>133</v>
      </c>
      <c r="AO4" s="8" t="s">
        <v>6</v>
      </c>
      <c r="AP4" s="8" t="s">
        <v>6</v>
      </c>
      <c r="AQ4" s="503" t="s">
        <v>6</v>
      </c>
      <c r="AR4" s="526" t="s">
        <v>135</v>
      </c>
      <c r="AS4" s="503" t="s">
        <v>7</v>
      </c>
      <c r="AT4" s="503" t="s">
        <v>377</v>
      </c>
      <c r="AU4" s="528" t="s">
        <v>137</v>
      </c>
      <c r="AV4" s="464" t="s">
        <v>381</v>
      </c>
      <c r="AW4" s="464" t="s">
        <v>379</v>
      </c>
      <c r="AX4" s="464" t="s">
        <v>382</v>
      </c>
      <c r="AY4" s="505" t="s">
        <v>57</v>
      </c>
      <c r="AZ4" s="505" t="s">
        <v>383</v>
      </c>
      <c r="BA4" s="517" t="s">
        <v>384</v>
      </c>
      <c r="BB4" s="517" t="s">
        <v>385</v>
      </c>
      <c r="BC4" s="453"/>
    </row>
    <row r="5" spans="1:56" ht="28.5" customHeight="1">
      <c r="A5" s="470" t="s">
        <v>8</v>
      </c>
      <c r="B5" s="470"/>
      <c r="C5" s="480"/>
      <c r="D5" s="141">
        <f>+'[2]Diff Funding Calculation'!$D$32</f>
        <v>2349.792279718793</v>
      </c>
      <c r="E5" s="481"/>
      <c r="F5" s="470"/>
      <c r="G5" s="483"/>
      <c r="H5" s="508"/>
      <c r="I5" s="126">
        <f>+'[2]Diff Funding Calculation'!$D$44</f>
        <v>1492.692742571654</v>
      </c>
      <c r="J5" s="508"/>
      <c r="K5" s="126">
        <f>+'[2]Diff Funding Calculation'!$D$45</f>
        <v>8956.1564554299239</v>
      </c>
      <c r="L5" s="508"/>
      <c r="M5" s="127">
        <f>+'[2]Diff Funding Calculation'!$D$46</f>
        <v>16419.620168288195</v>
      </c>
      <c r="N5" s="504"/>
      <c r="O5" s="485"/>
      <c r="P5" s="508"/>
      <c r="Q5" s="508"/>
      <c r="R5" s="133">
        <f>-'[2]Diff Funding Calculation'!$D$31</f>
        <v>-1170.6971540523818</v>
      </c>
      <c r="S5" s="508"/>
      <c r="T5" s="504"/>
      <c r="U5" s="491"/>
      <c r="V5" s="516"/>
      <c r="W5" s="9">
        <v>1.7500000000000002E-2</v>
      </c>
      <c r="X5" s="9">
        <v>2.5000000000000001E-3</v>
      </c>
      <c r="Y5" s="489"/>
      <c r="Z5" s="483"/>
      <c r="AA5" s="485"/>
      <c r="AB5" s="485"/>
      <c r="AC5" s="504"/>
      <c r="AD5" s="395"/>
      <c r="AE5" s="395"/>
      <c r="AF5" s="395"/>
      <c r="AG5" s="137">
        <f>'[3]Table 5B1_RSD_Orleans'!$T$9</f>
        <v>4668</v>
      </c>
      <c r="AH5" s="137">
        <f>'[3]Table 5B1_RSD_Orleans'!$T$16</f>
        <v>5433</v>
      </c>
      <c r="AI5" s="504"/>
      <c r="AJ5" s="504"/>
      <c r="AK5" s="531"/>
      <c r="AL5" s="531"/>
      <c r="AM5" s="491"/>
      <c r="AN5" s="523"/>
      <c r="AO5" s="9">
        <v>1.7500000000000002E-2</v>
      </c>
      <c r="AP5" s="9">
        <v>2.5000000000000001E-3</v>
      </c>
      <c r="AQ5" s="504"/>
      <c r="AR5" s="527"/>
      <c r="AS5" s="504"/>
      <c r="AT5" s="504"/>
      <c r="AU5" s="529"/>
      <c r="AV5" s="465"/>
      <c r="AW5" s="465"/>
      <c r="AX5" s="465"/>
      <c r="AY5" s="506"/>
      <c r="AZ5" s="506"/>
      <c r="BA5" s="518"/>
      <c r="BB5" s="518"/>
    </row>
    <row r="6" spans="1:56">
      <c r="A6" s="10"/>
      <c r="B6" s="10"/>
      <c r="C6" s="11">
        <v>1</v>
      </c>
      <c r="D6" s="114">
        <f t="shared" ref="D6" si="0">C6+1</f>
        <v>2</v>
      </c>
      <c r="E6" s="11">
        <f t="shared" ref="E6" si="1">D6+1</f>
        <v>3</v>
      </c>
      <c r="F6" s="11">
        <f t="shared" ref="F6" si="2">E6+1</f>
        <v>4</v>
      </c>
      <c r="G6" s="11">
        <f>F6+1</f>
        <v>5</v>
      </c>
      <c r="H6" s="11">
        <f>G6+1</f>
        <v>6</v>
      </c>
      <c r="I6" s="11">
        <f>H6+1</f>
        <v>7</v>
      </c>
      <c r="J6" s="11">
        <f t="shared" ref="J6:N6" si="3">I6+1</f>
        <v>8</v>
      </c>
      <c r="K6" s="11">
        <f t="shared" si="3"/>
        <v>9</v>
      </c>
      <c r="L6" s="11">
        <f t="shared" si="3"/>
        <v>10</v>
      </c>
      <c r="M6" s="11">
        <f t="shared" si="3"/>
        <v>11</v>
      </c>
      <c r="N6" s="11">
        <f t="shared" si="3"/>
        <v>12</v>
      </c>
      <c r="O6" s="11">
        <f>N6+1</f>
        <v>13</v>
      </c>
      <c r="P6" s="11">
        <f>O6+1</f>
        <v>14</v>
      </c>
      <c r="Q6" s="11">
        <f t="shared" ref="Q6:V6" si="4">P6+1</f>
        <v>15</v>
      </c>
      <c r="R6" s="11">
        <f t="shared" si="4"/>
        <v>16</v>
      </c>
      <c r="S6" s="11">
        <f t="shared" si="4"/>
        <v>17</v>
      </c>
      <c r="T6" s="11">
        <f t="shared" si="4"/>
        <v>18</v>
      </c>
      <c r="U6" s="11">
        <f t="shared" si="4"/>
        <v>19</v>
      </c>
      <c r="V6" s="11">
        <f t="shared" si="4"/>
        <v>20</v>
      </c>
      <c r="W6" s="11">
        <f>V6+1</f>
        <v>21</v>
      </c>
      <c r="X6" s="11">
        <f t="shared" ref="X6" si="5">W6+1</f>
        <v>22</v>
      </c>
      <c r="Y6" s="11">
        <f t="shared" ref="Y6" si="6">X6+1</f>
        <v>23</v>
      </c>
      <c r="Z6" s="11">
        <f t="shared" ref="Z6" si="7">Y6+1</f>
        <v>24</v>
      </c>
      <c r="AA6" s="11">
        <f t="shared" ref="AA6" si="8">Z6+1</f>
        <v>25</v>
      </c>
      <c r="AB6" s="11">
        <f t="shared" ref="AB6" si="9">AA6+1</f>
        <v>26</v>
      </c>
      <c r="AC6" s="11">
        <f t="shared" ref="AC6" si="10">AB6+1</f>
        <v>27</v>
      </c>
      <c r="AD6" s="11">
        <f t="shared" ref="AD6" si="11">AC6+1</f>
        <v>28</v>
      </c>
      <c r="AE6" s="11">
        <f t="shared" ref="AE6" si="12">AD6+1</f>
        <v>29</v>
      </c>
      <c r="AF6" s="11">
        <f t="shared" ref="AF6" si="13">AE6+1</f>
        <v>30</v>
      </c>
      <c r="AG6" s="11">
        <f t="shared" ref="AG6" si="14">AF6+1</f>
        <v>31</v>
      </c>
      <c r="AH6" s="11">
        <f t="shared" ref="AH6:AI6" si="15">AG6+1</f>
        <v>32</v>
      </c>
      <c r="AI6" s="11">
        <f t="shared" si="15"/>
        <v>33</v>
      </c>
      <c r="AJ6" s="11">
        <f t="shared" ref="AJ6" si="16">AI6+1</f>
        <v>34</v>
      </c>
      <c r="AK6" s="11">
        <f t="shared" ref="AK6" si="17">AJ6+1</f>
        <v>35</v>
      </c>
      <c r="AL6" s="11">
        <f t="shared" ref="AL6" si="18">AK6+1</f>
        <v>36</v>
      </c>
      <c r="AM6" s="11">
        <f t="shared" ref="AM6" si="19">AL6+1</f>
        <v>37</v>
      </c>
      <c r="AN6" s="11">
        <f>AM6+1</f>
        <v>38</v>
      </c>
      <c r="AO6" s="11">
        <f t="shared" ref="AO6" si="20">AN6+1</f>
        <v>39</v>
      </c>
      <c r="AP6" s="11">
        <f t="shared" ref="AP6" si="21">AO6+1</f>
        <v>40</v>
      </c>
      <c r="AQ6" s="11">
        <f t="shared" ref="AQ6" si="22">AP6+1</f>
        <v>41</v>
      </c>
      <c r="AR6" s="11">
        <f t="shared" ref="AR6" si="23">AQ6+1</f>
        <v>42</v>
      </c>
      <c r="AS6" s="11">
        <f t="shared" ref="AS6" si="24">AR6+1</f>
        <v>43</v>
      </c>
      <c r="AT6" s="11">
        <f t="shared" ref="AT6" si="25">AS6+1</f>
        <v>44</v>
      </c>
      <c r="AU6" s="11">
        <f t="shared" ref="AU6" si="26">AT6+1</f>
        <v>45</v>
      </c>
      <c r="AV6" s="11">
        <f t="shared" ref="AV6" si="27">AU6+1</f>
        <v>46</v>
      </c>
      <c r="AW6" s="11">
        <f t="shared" ref="AW6" si="28">AV6+1</f>
        <v>47</v>
      </c>
      <c r="AX6" s="11">
        <f t="shared" ref="AX6" si="29">AW6+1</f>
        <v>48</v>
      </c>
      <c r="AY6" s="11">
        <f t="shared" ref="AY6" si="30">AX6+1</f>
        <v>49</v>
      </c>
      <c r="AZ6" s="11">
        <f t="shared" ref="AZ6" si="31">AY6+1</f>
        <v>50</v>
      </c>
      <c r="BA6" s="11">
        <f t="shared" ref="BA6" si="32">AZ6+1</f>
        <v>51</v>
      </c>
      <c r="BB6" s="11">
        <f t="shared" ref="BB6" si="33">BA6+1</f>
        <v>52</v>
      </c>
    </row>
    <row r="7" spans="1:56" ht="24.75" customHeight="1">
      <c r="A7" s="15">
        <v>396</v>
      </c>
      <c r="B7" s="16" t="s">
        <v>9</v>
      </c>
      <c r="C7" s="17">
        <f>3759-C28-C30-C39-C66-C18+317+253+346+384</f>
        <v>2381</v>
      </c>
      <c r="D7" s="13">
        <f>C7*$D$5</f>
        <v>5594855.4180104462</v>
      </c>
      <c r="E7" s="13">
        <v>797.0524448632965</v>
      </c>
      <c r="F7" s="13">
        <f>E7*C7</f>
        <v>1897781.871219509</v>
      </c>
      <c r="G7" s="123">
        <f>D7+F7</f>
        <v>7492637.2892299555</v>
      </c>
      <c r="H7" s="398">
        <f>IFERROR(VLOOKUP(A7,'[4]RSD Opr + Type 5s'!$A$6:$E$77,5,FALSE),"na")</f>
        <v>69</v>
      </c>
      <c r="I7" s="122">
        <f>H7*$I$5</f>
        <v>102995.79923744412</v>
      </c>
      <c r="J7" s="401">
        <f>+IFERROR(VLOOKUP(A7,'[4]RSD Opr + Type 5s'!$A$6:$L$77,12,FALSE),"na")</f>
        <v>188</v>
      </c>
      <c r="K7" s="122">
        <f>J7*$K$5</f>
        <v>1683757.4136208256</v>
      </c>
      <c r="L7" s="401">
        <f>+IFERROR(VLOOKUP(A7,'[4]RSD Opr + Type 5s'!$A$6:$V$77,22,FALSE),"na")</f>
        <v>55</v>
      </c>
      <c r="M7" s="122">
        <f>L7*$M$5</f>
        <v>903079.10925585066</v>
      </c>
      <c r="N7" s="122">
        <f>I7+K7+M7</f>
        <v>2689832.3221141202</v>
      </c>
      <c r="O7" s="121">
        <f>G7+N7</f>
        <v>10182469.611344077</v>
      </c>
      <c r="P7" s="122">
        <f>+IFERROR(VLOOKUP(A7,'October midyear adj'!$A$128:$K$203,11,FALSE),"na")</f>
        <v>-6122274.3839036813</v>
      </c>
      <c r="Q7" s="401">
        <f>+IFERROR(VLOOKUP(A7,'October midyear adj'!A85:E203,5,FALSE),"Na")</f>
        <v>-1418</v>
      </c>
      <c r="R7" s="122">
        <f>Q7*$R$5</f>
        <v>1660048.5644462775</v>
      </c>
      <c r="S7" s="122">
        <f>P7+R7</f>
        <v>-4462225.8194574043</v>
      </c>
      <c r="T7" s="122">
        <f>IFERROR(VLOOKUP(A7,'February midyear adj '!$A$128:$K$203,11,FALSE),"na")</f>
        <v>77715.753815420496</v>
      </c>
      <c r="U7" s="122">
        <f>S7+T7</f>
        <v>-4384510.0656419834</v>
      </c>
      <c r="V7" s="122">
        <f>O7+U7</f>
        <v>5797959.5457020933</v>
      </c>
      <c r="W7" s="18">
        <f>-W67</f>
        <v>2067312.0424009832</v>
      </c>
      <c r="X7" s="110" t="s">
        <v>56</v>
      </c>
      <c r="Y7" s="18">
        <f>W7</f>
        <v>2067312.0424009832</v>
      </c>
      <c r="Z7" s="14">
        <f>V7+Y7</f>
        <v>7865271.5881030764</v>
      </c>
      <c r="AA7" s="13">
        <f>'[5]Adjusted Amounts'!$I$149</f>
        <v>-322157.92574859853</v>
      </c>
      <c r="AB7" s="13">
        <v>-21288</v>
      </c>
      <c r="AC7" s="123">
        <f>ROUND(Z7+AA7+AB7,0)</f>
        <v>7521826</v>
      </c>
      <c r="AD7" s="123">
        <f>+'[6]Table 5B1_RSD_Orleans'!P7+'[7]Table 5B1_RSD_Orleans'!W7+('[8]Table 5B1_RSD_Orleans'!W7*3)+'[9]Table 5B1_RSD_Orleans'!W7+'[10]Table 5B1_RSD_Orleans'!W7+'[11]Table 5B1_RSD_Orleans'!W7</f>
        <v>4885087</v>
      </c>
      <c r="AE7" s="123">
        <f>+AC7-AD7</f>
        <v>2636739</v>
      </c>
      <c r="AF7" s="123">
        <f>+AE7/4</f>
        <v>659184.75</v>
      </c>
      <c r="AG7" s="128">
        <f>C7*$AG$5</f>
        <v>11114508</v>
      </c>
      <c r="AH7" s="123">
        <v>0</v>
      </c>
      <c r="AI7" s="128">
        <f>Q7</f>
        <v>-1418</v>
      </c>
      <c r="AJ7" s="123">
        <f>AI7*$AG$5</f>
        <v>-6619224</v>
      </c>
      <c r="AK7" s="128">
        <f>+IFERROR(VLOOKUP(A7,'February midyear adj '!$A$85:$E$204,5,FALSE),"na")</f>
        <v>36</v>
      </c>
      <c r="AL7" s="123">
        <f>AK7*$AG$5*0.5</f>
        <v>84024</v>
      </c>
      <c r="AM7" s="123">
        <f>AJ7+AL7</f>
        <v>-6535200</v>
      </c>
      <c r="AN7" s="14">
        <f>AG7+AH7+AJ7+AL7</f>
        <v>4579308</v>
      </c>
      <c r="AO7" s="18">
        <f>-AO67</f>
        <v>2318581.02</v>
      </c>
      <c r="AP7" s="116"/>
      <c r="AQ7" s="18">
        <f>AO7+AP7</f>
        <v>2318581.02</v>
      </c>
      <c r="AR7" s="18">
        <f>AN7+AQ7</f>
        <v>6897889.0199999996</v>
      </c>
      <c r="AS7" s="13">
        <f>'[12]Adjusted Amounts'!$Q$149</f>
        <v>-73370.5</v>
      </c>
      <c r="AT7" s="13">
        <v>44058</v>
      </c>
      <c r="AU7" s="454">
        <f>SUM(AR7:AT7)</f>
        <v>6868576.5199999996</v>
      </c>
      <c r="AV7" s="123">
        <f>+'[13]Table 5B1_RSD_Orleans'!Y7+'[7]Table 5B1_RSD_Orleans'!AK7+('[8]Table 5B1_RSD_Orleans'!AK7*3)+'[9]Table 5B1_RSD_Orleans'!AK7+'[10]Table 5B1_RSD_Orleans'!AK7+'[11]Table 5B1_RSD_Orleans'!AK7</f>
        <v>5160387.3669469701</v>
      </c>
      <c r="AW7" s="123">
        <f>+AU7-AV7</f>
        <v>1708189.1530530294</v>
      </c>
      <c r="AX7" s="454">
        <f>+AW7/4</f>
        <v>427047.28826325736</v>
      </c>
      <c r="AY7" s="112">
        <f>AC7+AU7</f>
        <v>14390402.52</v>
      </c>
      <c r="AZ7" s="112">
        <f>+AF7+AX7</f>
        <v>1086232.0382632574</v>
      </c>
      <c r="BA7" s="112">
        <f>ROUND((AX7/$AX$68)*$BA$3,0)-2</f>
        <v>167788</v>
      </c>
      <c r="BB7" s="112">
        <f>AX7-BA7</f>
        <v>259259.28826325736</v>
      </c>
      <c r="BC7" s="146">
        <f>AX7-BA7-BB7</f>
        <v>0</v>
      </c>
    </row>
    <row r="8" spans="1:56" ht="8.25" customHeight="1">
      <c r="A8" s="19"/>
      <c r="B8" s="501"/>
      <c r="C8" s="502"/>
      <c r="D8" s="502"/>
      <c r="E8" s="502"/>
      <c r="F8" s="502"/>
      <c r="G8" s="502"/>
      <c r="H8" s="502"/>
      <c r="I8" s="502"/>
      <c r="J8" s="502"/>
      <c r="K8" s="502"/>
      <c r="L8" s="502"/>
      <c r="M8" s="502"/>
      <c r="N8" s="502"/>
      <c r="O8" s="502"/>
      <c r="P8" s="502"/>
      <c r="Q8" s="502"/>
      <c r="R8" s="502"/>
      <c r="S8" s="502"/>
      <c r="T8" s="502"/>
      <c r="U8" s="502"/>
      <c r="V8" s="502"/>
      <c r="W8" s="502"/>
      <c r="X8" s="502"/>
      <c r="Y8" s="502"/>
      <c r="Z8" s="502"/>
      <c r="AA8" s="502"/>
      <c r="AB8" s="502"/>
      <c r="AC8" s="502"/>
      <c r="AD8" s="444"/>
      <c r="AE8" s="444"/>
      <c r="AF8" s="444"/>
      <c r="AG8" s="452"/>
      <c r="AH8" s="452"/>
      <c r="AI8" s="452"/>
      <c r="AJ8" s="452"/>
      <c r="AK8" s="452"/>
      <c r="AL8" s="452"/>
      <c r="AM8" s="452"/>
      <c r="AN8" s="452"/>
      <c r="AO8" s="452"/>
      <c r="AP8" s="452"/>
      <c r="AQ8" s="452"/>
      <c r="AR8" s="452"/>
      <c r="AS8" s="452"/>
      <c r="AT8" s="452"/>
      <c r="AU8" s="452"/>
      <c r="AV8" s="452"/>
      <c r="AW8" s="452"/>
      <c r="AX8" s="452"/>
      <c r="AY8" s="452"/>
      <c r="AZ8" s="452"/>
      <c r="BA8" s="452"/>
      <c r="BB8" s="452"/>
      <c r="BC8" s="146"/>
    </row>
    <row r="9" spans="1:56" ht="21" customHeight="1">
      <c r="A9" s="20"/>
      <c r="B9" s="21" t="s">
        <v>10</v>
      </c>
      <c r="C9" s="12"/>
      <c r="D9" s="13"/>
      <c r="E9" s="13"/>
      <c r="F9" s="1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8"/>
      <c r="X9" s="18"/>
      <c r="Y9" s="18"/>
      <c r="Z9" s="14"/>
      <c r="AA9" s="18"/>
      <c r="AB9" s="18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4"/>
      <c r="AO9" s="18"/>
      <c r="AP9" s="18"/>
      <c r="AQ9" s="18"/>
      <c r="AR9" s="18"/>
      <c r="AS9" s="18"/>
      <c r="AT9" s="18"/>
      <c r="AU9" s="454"/>
      <c r="AV9" s="123"/>
      <c r="AW9" s="123"/>
      <c r="AX9" s="454"/>
      <c r="AY9" s="18"/>
      <c r="AZ9" s="18"/>
      <c r="BA9" s="18"/>
      <c r="BB9" s="18"/>
      <c r="BC9" s="146">
        <f t="shared" ref="BC9:BC66" si="34">AX9-BA9-BB9</f>
        <v>0</v>
      </c>
    </row>
    <row r="10" spans="1:56" ht="30.75" customHeight="1">
      <c r="A10" s="22">
        <v>300001</v>
      </c>
      <c r="B10" s="23" t="s">
        <v>62</v>
      </c>
      <c r="C10" s="24">
        <f>'[14]RSD-NO by Site'!D5</f>
        <v>398</v>
      </c>
      <c r="D10" s="25">
        <f t="shared" ref="D10:D66" si="35">C10*$D$5</f>
        <v>935217.32732807961</v>
      </c>
      <c r="E10" s="25">
        <v>767.72184717013943</v>
      </c>
      <c r="F10" s="25">
        <f t="shared" ref="F10:F41" si="36">E10*C10</f>
        <v>305553.29517371551</v>
      </c>
      <c r="G10" s="121">
        <f t="shared" ref="G10:G66" si="37">D10+F10</f>
        <v>1240770.6225017952</v>
      </c>
      <c r="H10" s="134">
        <f>IFERROR(VLOOKUP(A10,'[4]RSD Opr + Type 5s'!$A$6:$E$77,5,FALSE),"na")</f>
        <v>9</v>
      </c>
      <c r="I10" s="121">
        <f t="shared" ref="I10:I66" si="38">H10*$I$5</f>
        <v>13434.234683144885</v>
      </c>
      <c r="J10" s="134">
        <f>+IFERROR(VLOOKUP(A10,'[4]RSD Opr + Type 5s'!$A$6:$L$77,12,FALSE),"na")</f>
        <v>17</v>
      </c>
      <c r="K10" s="121">
        <f t="shared" ref="K10:K66" si="39">J10*$K$5</f>
        <v>152254.65974230869</v>
      </c>
      <c r="L10" s="134">
        <f>+IFERROR(VLOOKUP(A10,'[4]RSD Opr + Type 5s'!$A$6:$V$77,22,FALSE),"na")</f>
        <v>1</v>
      </c>
      <c r="M10" s="121">
        <f t="shared" ref="M10:M66" si="40">L10*$M$5</f>
        <v>16419.620168288195</v>
      </c>
      <c r="N10" s="121">
        <f t="shared" ref="N10:N66" si="41">I10+K10+M10</f>
        <v>182108.5145937418</v>
      </c>
      <c r="O10" s="121">
        <f t="shared" ref="O10:O66" si="42">G10+N10</f>
        <v>1422879.137095537</v>
      </c>
      <c r="P10" s="121">
        <f>+IFERROR(VLOOKUP(A10,'October midyear adj'!$A$128:$K$203,11,FALSE),"na")</f>
        <v>-111493.49330447416</v>
      </c>
      <c r="Q10" s="134">
        <f>+IFERROR(VLOOKUP(A10,'October midyear adj'!A88:E206,5,FALSE),"Na")</f>
        <v>-26</v>
      </c>
      <c r="R10" s="121">
        <f t="shared" ref="R10:R66" si="43">Q10*$R$5</f>
        <v>30438.126005361926</v>
      </c>
      <c r="S10" s="121">
        <f t="shared" ref="S10:S66" si="44">P10+R10</f>
        <v>-81055.367299112229</v>
      </c>
      <c r="T10" s="121">
        <f>IFERROR(VLOOKUP(A10,'February midyear adj '!$A$128:$K$203,11,FALSE),"na")</f>
        <v>8576.4225618826276</v>
      </c>
      <c r="U10" s="121">
        <f t="shared" ref="U10:U66" si="45">S10+T10</f>
        <v>-72478.944737229598</v>
      </c>
      <c r="V10" s="121">
        <f t="shared" ref="V10:V66" si="46">O10+U10</f>
        <v>1350400.1923583075</v>
      </c>
      <c r="W10" s="27">
        <f>-$W$5*V10</f>
        <v>-23632.003366270383</v>
      </c>
      <c r="X10" s="27">
        <f>-$X$5*V10</f>
        <v>-3376.0004808957688</v>
      </c>
      <c r="Y10" s="27">
        <f>W10+X10</f>
        <v>-27008.00384716615</v>
      </c>
      <c r="Z10" s="26">
        <f>V10+Y10</f>
        <v>1323392.1885111413</v>
      </c>
      <c r="AA10" s="27">
        <f>'[5]Adjusted Amounts'!I162</f>
        <v>0</v>
      </c>
      <c r="AB10" s="27">
        <v>0</v>
      </c>
      <c r="AC10" s="121">
        <f t="shared" ref="AC10:AC66" si="47">ROUND(Z10+AA10+AB10,0)</f>
        <v>1323392</v>
      </c>
      <c r="AD10" s="445">
        <f>+'[6]Table 5B1_RSD_Orleans'!P10+'[7]Table 5B1_RSD_Orleans'!W10+('[8]Table 5B1_RSD_Orleans'!W10*3)+'[9]Table 5B1_RSD_Orleans'!W10+'[10]Table 5B1_RSD_Orleans'!W10+'[11]Table 5B1_RSD_Orleans'!W10</f>
        <v>995518</v>
      </c>
      <c r="AE10" s="445">
        <f t="shared" ref="AE10:AE66" si="48">+AC10-AD10</f>
        <v>327874</v>
      </c>
      <c r="AF10" s="445">
        <f t="shared" ref="AF10:AF66" si="49">+AE10/4</f>
        <v>81968.5</v>
      </c>
      <c r="AG10" s="121">
        <f>C10*$AG$5</f>
        <v>1857864</v>
      </c>
      <c r="AH10" s="121">
        <v>0</v>
      </c>
      <c r="AI10" s="134">
        <f t="shared" ref="AI10:AI41" si="50">Q10</f>
        <v>-26</v>
      </c>
      <c r="AJ10" s="121">
        <f t="shared" ref="AJ10:AJ66" si="51">AI10*$AG$5</f>
        <v>-121368</v>
      </c>
      <c r="AK10" s="134">
        <f>+IFERROR(VLOOKUP(A10,'February midyear adj '!$A$85:$E$204,5,FALSE),"na")</f>
        <v>4</v>
      </c>
      <c r="AL10" s="121">
        <f>AK10*$AG$5*0.5</f>
        <v>9336</v>
      </c>
      <c r="AM10" s="121">
        <f t="shared" ref="AM10:AM66" si="52">AJ10+AL10</f>
        <v>-112032</v>
      </c>
      <c r="AN10" s="26">
        <f t="shared" ref="AN10:AN66" si="53">AG10+AH10+AJ10+AL10</f>
        <v>1745832</v>
      </c>
      <c r="AO10" s="27">
        <f>-$AO$5*AN10</f>
        <v>-30552.06</v>
      </c>
      <c r="AP10" s="27">
        <f>-$AP$5*AN10</f>
        <v>-4364.58</v>
      </c>
      <c r="AQ10" s="27">
        <f>AO10+AP10</f>
        <v>-34916.639999999999</v>
      </c>
      <c r="AR10" s="27">
        <f>AN10+AQ10</f>
        <v>1710915.36</v>
      </c>
      <c r="AS10" s="27">
        <f>'[12]Adjusted Amounts'!Q162</f>
        <v>0</v>
      </c>
      <c r="AT10" s="27">
        <v>0</v>
      </c>
      <c r="AU10" s="455">
        <f t="shared" ref="AU10:AU66" si="54">SUM(AR10:AT10)</f>
        <v>1710915.36</v>
      </c>
      <c r="AV10" s="445">
        <f>+'[13]Table 5B1_RSD_Orleans'!Y10+'[7]Table 5B1_RSD_Orleans'!AK10+('[8]Table 5B1_RSD_Orleans'!AK10*3)+'[9]Table 5B1_RSD_Orleans'!AK10+'[10]Table 5B1_RSD_Orleans'!AK10+'[11]Table 5B1_RSD_Orleans'!AK10</f>
        <v>1214844.0358787877</v>
      </c>
      <c r="AW10" s="445">
        <f t="shared" ref="AW10:AW66" si="55">+AU10-AV10</f>
        <v>496071.32412121235</v>
      </c>
      <c r="AX10" s="461">
        <f t="shared" ref="AX10:AX66" si="56">+AW10/4</f>
        <v>124017.83103030309</v>
      </c>
      <c r="AY10" s="27">
        <f t="shared" ref="AY10:AY41" si="57">AC10+AU10</f>
        <v>3034307.3600000003</v>
      </c>
      <c r="AZ10" s="27">
        <f t="shared" ref="AZ10:AZ66" si="58">+AF10+AX10</f>
        <v>205986.33103030309</v>
      </c>
      <c r="BA10" s="27">
        <f t="shared" ref="BA10:BA66" si="59">ROUND((AX10/$AX$68)*$BA$3,0)</f>
        <v>48728</v>
      </c>
      <c r="BB10" s="27">
        <f t="shared" ref="BB10:BB66" si="60">AX10-BA10</f>
        <v>75289.831030303088</v>
      </c>
      <c r="BC10" s="146">
        <f t="shared" si="34"/>
        <v>0</v>
      </c>
    </row>
    <row r="11" spans="1:56" ht="30.75" customHeight="1">
      <c r="A11" s="29">
        <v>300002</v>
      </c>
      <c r="B11" s="30" t="s">
        <v>11</v>
      </c>
      <c r="C11" s="31">
        <f>'[14]RSD-NO by Site'!D6</f>
        <v>456</v>
      </c>
      <c r="D11" s="32">
        <f t="shared" si="35"/>
        <v>1071505.2795517696</v>
      </c>
      <c r="E11" s="32">
        <v>730.66950653120466</v>
      </c>
      <c r="F11" s="32">
        <f t="shared" si="36"/>
        <v>333185.29497822933</v>
      </c>
      <c r="G11" s="111">
        <f t="shared" si="37"/>
        <v>1404690.5745299989</v>
      </c>
      <c r="H11" s="115">
        <f>IFERROR(VLOOKUP(A11,'[4]RSD Opr + Type 5s'!$A$6:$E$77,5,FALSE),"na")</f>
        <v>11</v>
      </c>
      <c r="I11" s="111">
        <f t="shared" si="38"/>
        <v>16419.620168288195</v>
      </c>
      <c r="J11" s="115">
        <f>+IFERROR(VLOOKUP(A11,'[4]RSD Opr + Type 5s'!$A$6:$L$77,12,FALSE),"na")</f>
        <v>27</v>
      </c>
      <c r="K11" s="111">
        <f t="shared" si="39"/>
        <v>241816.22429660795</v>
      </c>
      <c r="L11" s="115">
        <f>+IFERROR(VLOOKUP(A11,'[4]RSD Opr + Type 5s'!$A$6:$V$77,22,FALSE),"na")</f>
        <v>6</v>
      </c>
      <c r="M11" s="111">
        <f t="shared" si="40"/>
        <v>98517.721009729168</v>
      </c>
      <c r="N11" s="111">
        <f t="shared" si="41"/>
        <v>356753.56547462533</v>
      </c>
      <c r="O11" s="111">
        <f t="shared" si="42"/>
        <v>1761444.1400046241</v>
      </c>
      <c r="P11" s="111">
        <f>+IFERROR(VLOOKUP(A11,'October midyear adj'!$A$128:$K$203,11,FALSE),"na")</f>
        <v>140288.24502997851</v>
      </c>
      <c r="Q11" s="115">
        <f>+IFERROR(VLOOKUP(A11,'October midyear adj'!A89:E207,5,FALSE),"Na")</f>
        <v>33</v>
      </c>
      <c r="R11" s="111">
        <f t="shared" si="43"/>
        <v>-38633.0060837286</v>
      </c>
      <c r="S11" s="111">
        <f t="shared" si="44"/>
        <v>101655.23894624991</v>
      </c>
      <c r="T11" s="111">
        <f>IFERROR(VLOOKUP(A11,'February midyear adj '!$A$128:$K$203,11,FALSE),"na")</f>
        <v>6376.7384104535686</v>
      </c>
      <c r="U11" s="111">
        <f t="shared" si="45"/>
        <v>108031.97735670349</v>
      </c>
      <c r="V11" s="111">
        <f t="shared" si="46"/>
        <v>1869476.1173613276</v>
      </c>
      <c r="W11" s="34">
        <f t="shared" ref="W11:W66" si="61">-$W$5*V11</f>
        <v>-32715.832053823236</v>
      </c>
      <c r="X11" s="34">
        <f t="shared" ref="X11:X66" si="62">-$X$5*V11</f>
        <v>-4673.6902934033196</v>
      </c>
      <c r="Y11" s="34">
        <f t="shared" ref="Y11:Y66" si="63">W11+X11</f>
        <v>-37389.522347226557</v>
      </c>
      <c r="Z11" s="33">
        <f t="shared" ref="Z11:Z66" si="64">V11+Y11</f>
        <v>1832086.5950141011</v>
      </c>
      <c r="AA11" s="34">
        <f>'[5]Adjusted Amounts'!I163</f>
        <v>-14065.621132128788</v>
      </c>
      <c r="AB11" s="34">
        <v>0</v>
      </c>
      <c r="AC11" s="111">
        <f t="shared" si="47"/>
        <v>1818021</v>
      </c>
      <c r="AD11" s="111">
        <f>+'[6]Table 5B1_RSD_Orleans'!P11+'[7]Table 5B1_RSD_Orleans'!W11+('[8]Table 5B1_RSD_Orleans'!W11*3)+'[9]Table 5B1_RSD_Orleans'!W11+'[10]Table 5B1_RSD_Orleans'!W11+'[11]Table 5B1_RSD_Orleans'!W11</f>
        <v>1189271</v>
      </c>
      <c r="AE11" s="111">
        <f t="shared" si="48"/>
        <v>628750</v>
      </c>
      <c r="AF11" s="111">
        <f t="shared" si="49"/>
        <v>157187.5</v>
      </c>
      <c r="AG11" s="111">
        <f>C11*$AG$5</f>
        <v>2128608</v>
      </c>
      <c r="AH11" s="111">
        <v>0</v>
      </c>
      <c r="AI11" s="115">
        <f t="shared" si="50"/>
        <v>33</v>
      </c>
      <c r="AJ11" s="111">
        <f t="shared" si="51"/>
        <v>154044</v>
      </c>
      <c r="AK11" s="115">
        <f>+IFERROR(VLOOKUP(A11,'February midyear adj '!$A$85:$E$204,5,FALSE),"na")</f>
        <v>3</v>
      </c>
      <c r="AL11" s="111">
        <f>AK11*$AG$5*0.5</f>
        <v>7002</v>
      </c>
      <c r="AM11" s="111">
        <f t="shared" si="52"/>
        <v>161046</v>
      </c>
      <c r="AN11" s="33">
        <f t="shared" si="53"/>
        <v>2289654</v>
      </c>
      <c r="AO11" s="34">
        <f t="shared" ref="AO11:AO66" si="65">-$AO$5*AN11</f>
        <v>-40068.945000000007</v>
      </c>
      <c r="AP11" s="34">
        <f t="shared" ref="AP11:AP66" si="66">-$AP$5*AN11</f>
        <v>-5724.1350000000002</v>
      </c>
      <c r="AQ11" s="34">
        <f t="shared" ref="AQ11:AQ66" si="67">AO11+AP11</f>
        <v>-45793.080000000009</v>
      </c>
      <c r="AR11" s="34">
        <f t="shared" ref="AR11:AR66" si="68">AN11+AQ11</f>
        <v>2243860.92</v>
      </c>
      <c r="AS11" s="34">
        <f>'[12]Adjusted Amounts'!Q163</f>
        <v>0</v>
      </c>
      <c r="AT11" s="34">
        <v>0</v>
      </c>
      <c r="AU11" s="456">
        <f t="shared" si="54"/>
        <v>2243860.92</v>
      </c>
      <c r="AV11" s="111">
        <f>+'[13]Table 5B1_RSD_Orleans'!Y11+'[7]Table 5B1_RSD_Orleans'!AK11+('[8]Table 5B1_RSD_Orleans'!AK11*3)+'[9]Table 5B1_RSD_Orleans'!AK11+'[10]Table 5B1_RSD_Orleans'!AK11+'[11]Table 5B1_RSD_Orleans'!AK11</f>
        <v>1391882.6014545455</v>
      </c>
      <c r="AW11" s="111">
        <f t="shared" si="55"/>
        <v>851978.31854545441</v>
      </c>
      <c r="AX11" s="456">
        <f t="shared" si="56"/>
        <v>212994.5796363636</v>
      </c>
      <c r="AY11" s="34">
        <f t="shared" si="57"/>
        <v>4061881.92</v>
      </c>
      <c r="AZ11" s="34">
        <f t="shared" si="58"/>
        <v>370182.0796363636</v>
      </c>
      <c r="BA11" s="34">
        <f t="shared" si="59"/>
        <v>83687</v>
      </c>
      <c r="BB11" s="34">
        <f t="shared" si="60"/>
        <v>129307.5796363636</v>
      </c>
      <c r="BC11" s="146">
        <f t="shared" si="34"/>
        <v>0</v>
      </c>
    </row>
    <row r="12" spans="1:56" ht="30.75" customHeight="1">
      <c r="A12" s="29">
        <v>300003</v>
      </c>
      <c r="B12" s="30" t="s">
        <v>63</v>
      </c>
      <c r="C12" s="31">
        <f>'[14]RSD-NO by Site'!D7</f>
        <v>658</v>
      </c>
      <c r="D12" s="32">
        <f t="shared" si="35"/>
        <v>1546163.3200549658</v>
      </c>
      <c r="E12" s="32">
        <v>767.72184717013943</v>
      </c>
      <c r="F12" s="32">
        <f t="shared" si="36"/>
        <v>505160.97543795174</v>
      </c>
      <c r="G12" s="111">
        <f t="shared" si="37"/>
        <v>2051324.2954929175</v>
      </c>
      <c r="H12" s="115">
        <f>IFERROR(VLOOKUP(A12,'[4]RSD Opr + Type 5s'!$A$6:$E$77,5,FALSE),"na")</f>
        <v>2</v>
      </c>
      <c r="I12" s="111">
        <f t="shared" si="38"/>
        <v>2985.385485143308</v>
      </c>
      <c r="J12" s="115">
        <f>+IFERROR(VLOOKUP(A12,'[4]RSD Opr + Type 5s'!$A$6:$L$77,12,FALSE),"na")</f>
        <v>36</v>
      </c>
      <c r="K12" s="111">
        <f t="shared" si="39"/>
        <v>322421.63239547727</v>
      </c>
      <c r="L12" s="115">
        <f>+IFERROR(VLOOKUP(A12,'[4]RSD Opr + Type 5s'!$A$6:$V$77,22,FALSE),"na")</f>
        <v>7</v>
      </c>
      <c r="M12" s="111">
        <f t="shared" si="40"/>
        <v>114937.34117801736</v>
      </c>
      <c r="N12" s="111">
        <f t="shared" si="41"/>
        <v>440344.35905863793</v>
      </c>
      <c r="O12" s="111">
        <f t="shared" si="42"/>
        <v>2491668.6545515554</v>
      </c>
      <c r="P12" s="111">
        <f>+IFERROR(VLOOKUP(A12,'October midyear adj'!$A$128:$K$203,11,FALSE),"na")</f>
        <v>34305.690247530511</v>
      </c>
      <c r="Q12" s="115">
        <f>+IFERROR(VLOOKUP(A12,'October midyear adj'!A90:E208,5,FALSE),"Na")</f>
        <v>8</v>
      </c>
      <c r="R12" s="111">
        <f t="shared" si="43"/>
        <v>-9365.5772324190548</v>
      </c>
      <c r="S12" s="111">
        <f t="shared" si="44"/>
        <v>24940.113015111456</v>
      </c>
      <c r="T12" s="111">
        <f>IFERROR(VLOOKUP(A12,'February midyear adj '!$A$128:$K$203,11,FALSE),"na")</f>
        <v>-12864.633842823941</v>
      </c>
      <c r="U12" s="111">
        <f t="shared" si="45"/>
        <v>12075.479172287514</v>
      </c>
      <c r="V12" s="111">
        <f t="shared" si="46"/>
        <v>2503744.1337238429</v>
      </c>
      <c r="W12" s="34">
        <f t="shared" si="61"/>
        <v>-43815.522340167256</v>
      </c>
      <c r="X12" s="34">
        <f t="shared" si="62"/>
        <v>-6259.3603343096074</v>
      </c>
      <c r="Y12" s="34">
        <f t="shared" si="63"/>
        <v>-50074.882674476859</v>
      </c>
      <c r="Z12" s="33">
        <f t="shared" si="64"/>
        <v>2453669.2510493658</v>
      </c>
      <c r="AA12" s="34">
        <f>'[5]Adjusted Amounts'!I164</f>
        <v>-14946.984579716975</v>
      </c>
      <c r="AB12" s="34">
        <v>0</v>
      </c>
      <c r="AC12" s="111">
        <f t="shared" si="47"/>
        <v>2438722</v>
      </c>
      <c r="AD12" s="111">
        <f>+'[6]Table 5B1_RSD_Orleans'!P12+'[7]Table 5B1_RSD_Orleans'!W12+('[8]Table 5B1_RSD_Orleans'!W12*3)+'[9]Table 5B1_RSD_Orleans'!W12+'[10]Table 5B1_RSD_Orleans'!W12+'[11]Table 5B1_RSD_Orleans'!W12</f>
        <v>1637962</v>
      </c>
      <c r="AE12" s="111">
        <f t="shared" si="48"/>
        <v>800760</v>
      </c>
      <c r="AF12" s="111">
        <f t="shared" si="49"/>
        <v>200190</v>
      </c>
      <c r="AG12" s="111">
        <f>C12*$AG$5</f>
        <v>3071544</v>
      </c>
      <c r="AH12" s="111">
        <v>0</v>
      </c>
      <c r="AI12" s="115">
        <f t="shared" si="50"/>
        <v>8</v>
      </c>
      <c r="AJ12" s="111">
        <f t="shared" si="51"/>
        <v>37344</v>
      </c>
      <c r="AK12" s="115">
        <f>+IFERROR(VLOOKUP(A12,'February midyear adj '!$A$85:$E$204,5,FALSE),"na")</f>
        <v>-6</v>
      </c>
      <c r="AL12" s="111">
        <f>AK12*$AG$5*0.5</f>
        <v>-14004</v>
      </c>
      <c r="AM12" s="111">
        <f t="shared" si="52"/>
        <v>23340</v>
      </c>
      <c r="AN12" s="33">
        <f t="shared" si="53"/>
        <v>3094884</v>
      </c>
      <c r="AO12" s="34">
        <f t="shared" si="65"/>
        <v>-54160.470000000008</v>
      </c>
      <c r="AP12" s="34">
        <f t="shared" si="66"/>
        <v>-7737.21</v>
      </c>
      <c r="AQ12" s="34">
        <f t="shared" si="67"/>
        <v>-61897.680000000008</v>
      </c>
      <c r="AR12" s="34">
        <f t="shared" si="68"/>
        <v>3032986.32</v>
      </c>
      <c r="AS12" s="34">
        <f>'[12]Adjusted Amounts'!Q164</f>
        <v>-12602</v>
      </c>
      <c r="AT12" s="34">
        <v>0</v>
      </c>
      <c r="AU12" s="456">
        <f t="shared" si="54"/>
        <v>3020384.32</v>
      </c>
      <c r="AV12" s="111">
        <f>+'[13]Table 5B1_RSD_Orleans'!Y12+'[7]Table 5B1_RSD_Orleans'!AK12+('[8]Table 5B1_RSD_Orleans'!AK12*3)+'[9]Table 5B1_RSD_Orleans'!AK12+'[10]Table 5B1_RSD_Orleans'!AK12+'[11]Table 5B1_RSD_Orleans'!AK12</f>
        <v>2000060.3261818183</v>
      </c>
      <c r="AW12" s="111">
        <f t="shared" si="55"/>
        <v>1020323.9938181816</v>
      </c>
      <c r="AX12" s="456">
        <f t="shared" si="56"/>
        <v>255080.99845454539</v>
      </c>
      <c r="AY12" s="34">
        <f t="shared" si="57"/>
        <v>5459106.3200000003</v>
      </c>
      <c r="AZ12" s="34">
        <f t="shared" si="58"/>
        <v>455270.99845454539</v>
      </c>
      <c r="BA12" s="34">
        <f t="shared" si="59"/>
        <v>100223</v>
      </c>
      <c r="BB12" s="34">
        <f t="shared" si="60"/>
        <v>154857.99845454539</v>
      </c>
      <c r="BC12" s="146">
        <f t="shared" si="34"/>
        <v>0</v>
      </c>
    </row>
    <row r="13" spans="1:56" ht="30.75" customHeight="1">
      <c r="A13" s="35">
        <v>300004</v>
      </c>
      <c r="B13" s="36" t="s">
        <v>12</v>
      </c>
      <c r="C13" s="31">
        <f>'[14]RSD-NO by Site'!D8</f>
        <v>412</v>
      </c>
      <c r="D13" s="32">
        <f t="shared" si="35"/>
        <v>968114.41924414271</v>
      </c>
      <c r="E13" s="34">
        <v>746.0335616438357</v>
      </c>
      <c r="F13" s="32">
        <f t="shared" si="36"/>
        <v>307365.82739726029</v>
      </c>
      <c r="G13" s="111">
        <f t="shared" si="37"/>
        <v>1275480.2466414031</v>
      </c>
      <c r="H13" s="115">
        <f>IFERROR(VLOOKUP(A13,'[4]RSD Opr + Type 5s'!$A$6:$E$77,5,FALSE),"na")</f>
        <v>8</v>
      </c>
      <c r="I13" s="111">
        <f t="shared" si="38"/>
        <v>11941.541940573232</v>
      </c>
      <c r="J13" s="115">
        <f>+IFERROR(VLOOKUP(A13,'[4]RSD Opr + Type 5s'!$A$6:$L$77,12,FALSE),"na")</f>
        <v>20</v>
      </c>
      <c r="K13" s="111">
        <f t="shared" si="39"/>
        <v>179123.12910859848</v>
      </c>
      <c r="L13" s="115">
        <f>+IFERROR(VLOOKUP(A13,'[4]RSD Opr + Type 5s'!$A$6:$V$77,22,FALSE),"na")</f>
        <v>6</v>
      </c>
      <c r="M13" s="111">
        <f t="shared" si="40"/>
        <v>98517.721009729168</v>
      </c>
      <c r="N13" s="111">
        <f t="shared" si="41"/>
        <v>289582.39205890091</v>
      </c>
      <c r="O13" s="111">
        <f t="shared" si="42"/>
        <v>1565062.6387003041</v>
      </c>
      <c r="P13" s="111">
        <f>+IFERROR(VLOOKUP(A13,'October midyear adj'!$A$128:$K$203,11,FALSE),"na")</f>
        <v>85330.459908300225</v>
      </c>
      <c r="Q13" s="115">
        <f>+IFERROR(VLOOKUP(A13,'October midyear adj'!A91:E209,5,FALSE),"Na")</f>
        <v>20</v>
      </c>
      <c r="R13" s="111">
        <f t="shared" si="43"/>
        <v>-23413.943081047637</v>
      </c>
      <c r="S13" s="111">
        <f t="shared" si="44"/>
        <v>61916.516827252592</v>
      </c>
      <c r="T13" s="111">
        <f>IFERROR(VLOOKUP(A13,'February midyear adj '!$A$128:$K$203,11,FALSE),"na")</f>
        <v>31998.922465612581</v>
      </c>
      <c r="U13" s="111">
        <f t="shared" si="45"/>
        <v>93915.439292865165</v>
      </c>
      <c r="V13" s="111">
        <f t="shared" si="46"/>
        <v>1658978.0779931692</v>
      </c>
      <c r="W13" s="34">
        <f t="shared" si="61"/>
        <v>-29032.116364880465</v>
      </c>
      <c r="X13" s="34">
        <f t="shared" si="62"/>
        <v>-4147.4451949829227</v>
      </c>
      <c r="Y13" s="34">
        <f t="shared" si="63"/>
        <v>-33179.561559863389</v>
      </c>
      <c r="Z13" s="33">
        <f t="shared" si="64"/>
        <v>1625798.5164333058</v>
      </c>
      <c r="AA13" s="34">
        <f>'[5]Adjusted Amounts'!I165</f>
        <v>-9433.2933428891047</v>
      </c>
      <c r="AB13" s="34">
        <v>0</v>
      </c>
      <c r="AC13" s="111">
        <f t="shared" si="47"/>
        <v>1616365</v>
      </c>
      <c r="AD13" s="111">
        <f>+'[6]Table 5B1_RSD_Orleans'!P13+'[7]Table 5B1_RSD_Orleans'!W13+('[8]Table 5B1_RSD_Orleans'!W13*3)+'[9]Table 5B1_RSD_Orleans'!W13+'[10]Table 5B1_RSD_Orleans'!W13+'[11]Table 5B1_RSD_Orleans'!W13</f>
        <v>1035877</v>
      </c>
      <c r="AE13" s="111">
        <f t="shared" si="48"/>
        <v>580488</v>
      </c>
      <c r="AF13" s="111">
        <f t="shared" si="49"/>
        <v>145122</v>
      </c>
      <c r="AG13" s="111">
        <f>C13*$AG$5</f>
        <v>1923216</v>
      </c>
      <c r="AH13" s="111">
        <v>0</v>
      </c>
      <c r="AI13" s="115">
        <f t="shared" si="50"/>
        <v>20</v>
      </c>
      <c r="AJ13" s="111">
        <f t="shared" si="51"/>
        <v>93360</v>
      </c>
      <c r="AK13" s="115">
        <f>+IFERROR(VLOOKUP(A13,'February midyear adj '!$A$85:$E$204,5,FALSE),"na")</f>
        <v>15</v>
      </c>
      <c r="AL13" s="111">
        <f>AK13*$AG$5*0.5</f>
        <v>35010</v>
      </c>
      <c r="AM13" s="111">
        <f t="shared" si="52"/>
        <v>128370</v>
      </c>
      <c r="AN13" s="33">
        <f t="shared" si="53"/>
        <v>2051586</v>
      </c>
      <c r="AO13" s="34">
        <f t="shared" si="65"/>
        <v>-35902.755000000005</v>
      </c>
      <c r="AP13" s="34">
        <f t="shared" si="66"/>
        <v>-5128.9650000000001</v>
      </c>
      <c r="AQ13" s="34">
        <f t="shared" si="67"/>
        <v>-41031.72</v>
      </c>
      <c r="AR13" s="34">
        <f t="shared" si="68"/>
        <v>2010554.28</v>
      </c>
      <c r="AS13" s="34">
        <f>'[12]Adjusted Amounts'!Q165</f>
        <v>-10493.5</v>
      </c>
      <c r="AT13" s="34">
        <v>0</v>
      </c>
      <c r="AU13" s="456">
        <f t="shared" si="54"/>
        <v>2000060.78</v>
      </c>
      <c r="AV13" s="111">
        <f>+'[13]Table 5B1_RSD_Orleans'!Y13+'[7]Table 5B1_RSD_Orleans'!AK13+('[8]Table 5B1_RSD_Orleans'!AK13*3)+'[9]Table 5B1_RSD_Orleans'!AK13+'[10]Table 5B1_RSD_Orleans'!AK13+'[11]Table 5B1_RSD_Orleans'!AK13</f>
        <v>1250581.8476060608</v>
      </c>
      <c r="AW13" s="111">
        <f t="shared" si="55"/>
        <v>749478.93239393923</v>
      </c>
      <c r="AX13" s="456">
        <f t="shared" si="56"/>
        <v>187369.73309848481</v>
      </c>
      <c r="AY13" s="34">
        <f t="shared" si="57"/>
        <v>3616425.7800000003</v>
      </c>
      <c r="AZ13" s="34">
        <f t="shared" si="58"/>
        <v>332491.73309848481</v>
      </c>
      <c r="BA13" s="34">
        <f t="shared" si="59"/>
        <v>73619</v>
      </c>
      <c r="BB13" s="34">
        <f t="shared" si="60"/>
        <v>113750.73309848481</v>
      </c>
      <c r="BC13" s="146">
        <f t="shared" si="34"/>
        <v>0</v>
      </c>
    </row>
    <row r="14" spans="1:56" ht="42.75" customHeight="1">
      <c r="A14" s="37">
        <v>360001</v>
      </c>
      <c r="B14" s="38" t="s">
        <v>60</v>
      </c>
      <c r="C14" s="39">
        <f>'[14]RSD-NO by Site'!D9</f>
        <v>156</v>
      </c>
      <c r="D14" s="40">
        <f t="shared" si="35"/>
        <v>366567.59563613171</v>
      </c>
      <c r="E14" s="42">
        <v>746.0335616438357</v>
      </c>
      <c r="F14" s="40">
        <f t="shared" si="36"/>
        <v>116381.23561643837</v>
      </c>
      <c r="G14" s="120">
        <f t="shared" si="37"/>
        <v>482948.83125257009</v>
      </c>
      <c r="H14" s="135">
        <f>IFERROR(VLOOKUP(A14,'[4]RSD Opr + Type 5s'!$A$6:$E$77,5,FALSE),"na")</f>
        <v>0</v>
      </c>
      <c r="I14" s="120">
        <f t="shared" si="38"/>
        <v>0</v>
      </c>
      <c r="J14" s="135">
        <f>+IFERROR(VLOOKUP(A14,'[4]RSD Opr + Type 5s'!$A$6:$L$77,12,FALSE),"na")</f>
        <v>22</v>
      </c>
      <c r="K14" s="120">
        <f t="shared" si="39"/>
        <v>197035.44201945834</v>
      </c>
      <c r="L14" s="135">
        <f>+IFERROR(VLOOKUP(A14,'[4]RSD Opr + Type 5s'!$A$6:$V$77,22,FALSE),"na")</f>
        <v>5</v>
      </c>
      <c r="M14" s="120">
        <f t="shared" si="40"/>
        <v>82098.100841440973</v>
      </c>
      <c r="N14" s="120">
        <f t="shared" si="41"/>
        <v>279133.5428608993</v>
      </c>
      <c r="O14" s="120">
        <f t="shared" si="42"/>
        <v>762082.37411346938</v>
      </c>
      <c r="P14" s="120">
        <f>+IFERROR(VLOOKUP(A14,'October midyear adj'!$A$128:$K$203,11,FALSE),"na")</f>
        <v>12799.568986245033</v>
      </c>
      <c r="Q14" s="135">
        <f>+IFERROR(VLOOKUP(A14,'October midyear adj'!A92:E210,5,FALSE),"Na")</f>
        <v>3</v>
      </c>
      <c r="R14" s="120">
        <f t="shared" si="43"/>
        <v>-3512.0914621571455</v>
      </c>
      <c r="S14" s="120">
        <f t="shared" si="44"/>
        <v>9287.477524087888</v>
      </c>
      <c r="T14" s="120">
        <f>IFERROR(VLOOKUP(A14,'February midyear adj '!$A$128:$K$203,11,FALSE),"na")</f>
        <v>-29865.660967905074</v>
      </c>
      <c r="U14" s="120">
        <f t="shared" si="45"/>
        <v>-20578.183443817186</v>
      </c>
      <c r="V14" s="120">
        <f t="shared" si="46"/>
        <v>741504.19066965219</v>
      </c>
      <c r="W14" s="42">
        <f t="shared" si="61"/>
        <v>-12976.323336718915</v>
      </c>
      <c r="X14" s="42">
        <f t="shared" si="62"/>
        <v>-1853.7604766741306</v>
      </c>
      <c r="Y14" s="42">
        <f t="shared" si="63"/>
        <v>-14830.083813393045</v>
      </c>
      <c r="Z14" s="41">
        <f t="shared" si="64"/>
        <v>726674.10685625917</v>
      </c>
      <c r="AA14" s="42">
        <f>'[5]Adjusted Amounts'!I166</f>
        <v>0</v>
      </c>
      <c r="AB14" s="42">
        <v>0</v>
      </c>
      <c r="AC14" s="120">
        <f t="shared" si="47"/>
        <v>726674</v>
      </c>
      <c r="AD14" s="446">
        <f>+'[6]Table 5B1_RSD_Orleans'!P14+'[7]Table 5B1_RSD_Orleans'!W14+('[8]Table 5B1_RSD_Orleans'!W14*3)+'[9]Table 5B1_RSD_Orleans'!W14+'[10]Table 5B1_RSD_Orleans'!W14+'[11]Table 5B1_RSD_Orleans'!W14</f>
        <v>447648</v>
      </c>
      <c r="AE14" s="446">
        <f t="shared" si="48"/>
        <v>279026</v>
      </c>
      <c r="AF14" s="446">
        <f t="shared" si="49"/>
        <v>69756.5</v>
      </c>
      <c r="AG14" s="111">
        <v>0</v>
      </c>
      <c r="AH14" s="120">
        <f>C14*$AH$5</f>
        <v>847548</v>
      </c>
      <c r="AI14" s="135">
        <f t="shared" si="50"/>
        <v>3</v>
      </c>
      <c r="AJ14" s="120">
        <f>AI14*$AH$5</f>
        <v>16299</v>
      </c>
      <c r="AK14" s="135">
        <f>+IFERROR(VLOOKUP(A14,'February midyear adj '!$A$85:$E$204,5,FALSE),"na")</f>
        <v>-14</v>
      </c>
      <c r="AL14" s="120">
        <f>AK14*$AH$5*0.5</f>
        <v>-38031</v>
      </c>
      <c r="AM14" s="120">
        <f t="shared" si="52"/>
        <v>-21732</v>
      </c>
      <c r="AN14" s="41">
        <f t="shared" si="53"/>
        <v>825816</v>
      </c>
      <c r="AO14" s="42">
        <f t="shared" si="65"/>
        <v>-14451.78</v>
      </c>
      <c r="AP14" s="42">
        <f t="shared" si="66"/>
        <v>-2064.54</v>
      </c>
      <c r="AQ14" s="42">
        <f t="shared" si="67"/>
        <v>-16516.32</v>
      </c>
      <c r="AR14" s="42">
        <f t="shared" si="68"/>
        <v>809299.68</v>
      </c>
      <c r="AS14" s="42">
        <f>'[12]Adjusted Amounts'!Q166</f>
        <v>0</v>
      </c>
      <c r="AT14" s="42">
        <v>0</v>
      </c>
      <c r="AU14" s="457">
        <f t="shared" si="54"/>
        <v>809299.68</v>
      </c>
      <c r="AV14" s="120">
        <f>+'[13]Table 5B1_RSD_Orleans'!Y14+'[7]Table 5B1_RSD_Orleans'!AK14+('[8]Table 5B1_RSD_Orleans'!AK14*3)+'[9]Table 5B1_RSD_Orleans'!AK14+'[10]Table 5B1_RSD_Orleans'!AK14+'[11]Table 5B1_RSD_Orleans'!AK14</f>
        <v>554547.15890909079</v>
      </c>
      <c r="AW14" s="120">
        <f t="shared" si="55"/>
        <v>254752.52109090926</v>
      </c>
      <c r="AX14" s="457">
        <f t="shared" si="56"/>
        <v>63688.130272727314</v>
      </c>
      <c r="AY14" s="42">
        <f t="shared" si="57"/>
        <v>1535973.6800000002</v>
      </c>
      <c r="AZ14" s="42">
        <f t="shared" si="58"/>
        <v>133444.63027272731</v>
      </c>
      <c r="BA14" s="42">
        <f t="shared" si="59"/>
        <v>25024</v>
      </c>
      <c r="BB14" s="42">
        <f t="shared" si="60"/>
        <v>38664.130272727314</v>
      </c>
      <c r="BC14" s="146">
        <f t="shared" si="34"/>
        <v>0</v>
      </c>
    </row>
    <row r="15" spans="1:56" ht="40.5">
      <c r="A15" s="22">
        <v>361001</v>
      </c>
      <c r="B15" s="23" t="s">
        <v>13</v>
      </c>
      <c r="C15" s="43">
        <f>'[14]RSD-NO by Site'!D10</f>
        <v>163</v>
      </c>
      <c r="D15" s="25">
        <f t="shared" si="35"/>
        <v>383016.14159416326</v>
      </c>
      <c r="E15" s="25">
        <v>746.0335616438357</v>
      </c>
      <c r="F15" s="25">
        <f t="shared" si="36"/>
        <v>121603.47054794522</v>
      </c>
      <c r="G15" s="121">
        <f t="shared" si="37"/>
        <v>504619.6121421085</v>
      </c>
      <c r="H15" s="134">
        <f>IFERROR(VLOOKUP(A15,'[4]RSD Opr + Type 5s'!$A$6:$E$77,5,FALSE),"na")</f>
        <v>0</v>
      </c>
      <c r="I15" s="121">
        <f t="shared" si="38"/>
        <v>0</v>
      </c>
      <c r="J15" s="134">
        <f>+IFERROR(VLOOKUP(A15,'[4]RSD Opr + Type 5s'!$A$6:$L$77,12,FALSE),"na")</f>
        <v>26</v>
      </c>
      <c r="K15" s="121">
        <f t="shared" si="39"/>
        <v>232860.06784117801</v>
      </c>
      <c r="L15" s="134">
        <f>+IFERROR(VLOOKUP(A15,'[4]RSD Opr + Type 5s'!$A$6:$V$77,22,FALSE),"na")</f>
        <v>9</v>
      </c>
      <c r="M15" s="121">
        <f t="shared" si="40"/>
        <v>147776.58151459374</v>
      </c>
      <c r="N15" s="121">
        <f t="shared" si="41"/>
        <v>380636.64935577172</v>
      </c>
      <c r="O15" s="121">
        <f t="shared" si="42"/>
        <v>885256.26149788022</v>
      </c>
      <c r="P15" s="121">
        <f>+IFERROR(VLOOKUP(A15,'October midyear adj'!$A$128:$K$203,11,FALSE),"na")</f>
        <v>273057.4717065607</v>
      </c>
      <c r="Q15" s="134">
        <f>+IFERROR(VLOOKUP(A15,'October midyear adj'!A93:E211,5,FALSE),"Na")</f>
        <v>64</v>
      </c>
      <c r="R15" s="121">
        <f t="shared" si="43"/>
        <v>-74924.617859352438</v>
      </c>
      <c r="S15" s="121">
        <f t="shared" si="44"/>
        <v>198132.85384720826</v>
      </c>
      <c r="T15" s="121">
        <f>IFERROR(VLOOKUP(A15,'February midyear adj '!$A$128:$K$203,11,FALSE),"na")</f>
        <v>14932.830483952537</v>
      </c>
      <c r="U15" s="121">
        <f t="shared" si="45"/>
        <v>213065.6843311608</v>
      </c>
      <c r="V15" s="121">
        <f t="shared" si="46"/>
        <v>1098321.9458290411</v>
      </c>
      <c r="W15" s="27">
        <f t="shared" si="61"/>
        <v>-19220.634052008219</v>
      </c>
      <c r="X15" s="27">
        <f t="shared" si="62"/>
        <v>-2745.8048645726026</v>
      </c>
      <c r="Y15" s="27">
        <f t="shared" si="63"/>
        <v>-21966.438916580821</v>
      </c>
      <c r="Z15" s="26">
        <f t="shared" si="64"/>
        <v>1076355.5069124603</v>
      </c>
      <c r="AA15" s="27">
        <f>'[5]Adjusted Amounts'!I167</f>
        <v>0</v>
      </c>
      <c r="AB15" s="27">
        <v>0</v>
      </c>
      <c r="AC15" s="121">
        <f t="shared" si="47"/>
        <v>1076356</v>
      </c>
      <c r="AD15" s="445">
        <f>+'[6]Table 5B1_RSD_Orleans'!P15+'[7]Table 5B1_RSD_Orleans'!W15+('[8]Table 5B1_RSD_Orleans'!W15*3)+'[9]Table 5B1_RSD_Orleans'!W15+'[10]Table 5B1_RSD_Orleans'!W15+'[11]Table 5B1_RSD_Orleans'!W15</f>
        <v>464319</v>
      </c>
      <c r="AE15" s="445">
        <f t="shared" si="48"/>
        <v>612037</v>
      </c>
      <c r="AF15" s="445">
        <f t="shared" si="49"/>
        <v>153009.25</v>
      </c>
      <c r="AG15" s="121">
        <v>0</v>
      </c>
      <c r="AH15" s="121">
        <f>C15*$AH$5</f>
        <v>885579</v>
      </c>
      <c r="AI15" s="134">
        <f t="shared" si="50"/>
        <v>64</v>
      </c>
      <c r="AJ15" s="121">
        <f>AI15*$AH$5</f>
        <v>347712</v>
      </c>
      <c r="AK15" s="134">
        <f>+IFERROR(VLOOKUP(A15,'February midyear adj '!$A$85:$E$204,5,FALSE),"na")</f>
        <v>7</v>
      </c>
      <c r="AL15" s="121">
        <f>AK15*$AH$5*0.5</f>
        <v>19015.5</v>
      </c>
      <c r="AM15" s="121">
        <f t="shared" si="52"/>
        <v>366727.5</v>
      </c>
      <c r="AN15" s="26">
        <f t="shared" si="53"/>
        <v>1252306.5</v>
      </c>
      <c r="AO15" s="27">
        <f t="shared" si="65"/>
        <v>-21915.36375</v>
      </c>
      <c r="AP15" s="27">
        <f t="shared" si="66"/>
        <v>-3130.7662500000001</v>
      </c>
      <c r="AQ15" s="27">
        <f t="shared" si="67"/>
        <v>-25046.13</v>
      </c>
      <c r="AR15" s="27">
        <f t="shared" si="68"/>
        <v>1227260.3700000001</v>
      </c>
      <c r="AS15" s="27">
        <f>'[12]Adjusted Amounts'!Q167</f>
        <v>0</v>
      </c>
      <c r="AT15" s="27">
        <v>0</v>
      </c>
      <c r="AU15" s="455">
        <f t="shared" si="54"/>
        <v>1227260.3700000001</v>
      </c>
      <c r="AV15" s="445">
        <f>+'[13]Table 5B1_RSD_Orleans'!Y15+'[7]Table 5B1_RSD_Orleans'!AK15+('[8]Table 5B1_RSD_Orleans'!AK15*3)+'[9]Table 5B1_RSD_Orleans'!AK15+'[10]Table 5B1_RSD_Orleans'!AK15+'[11]Table 5B1_RSD_Orleans'!AK15</f>
        <v>647681.84451515158</v>
      </c>
      <c r="AW15" s="445">
        <f t="shared" si="55"/>
        <v>579578.52548484853</v>
      </c>
      <c r="AX15" s="461">
        <f t="shared" si="56"/>
        <v>144894.63137121213</v>
      </c>
      <c r="AY15" s="27">
        <f t="shared" si="57"/>
        <v>2303616.37</v>
      </c>
      <c r="AZ15" s="27">
        <f t="shared" si="58"/>
        <v>297903.88137121213</v>
      </c>
      <c r="BA15" s="27">
        <f t="shared" si="59"/>
        <v>56930</v>
      </c>
      <c r="BB15" s="27">
        <f t="shared" si="60"/>
        <v>87964.631371212134</v>
      </c>
      <c r="BC15" s="146">
        <f t="shared" si="34"/>
        <v>0</v>
      </c>
    </row>
    <row r="16" spans="1:56" ht="34.5" customHeight="1">
      <c r="A16" s="29">
        <v>362001</v>
      </c>
      <c r="B16" s="30" t="s">
        <v>14</v>
      </c>
      <c r="C16" s="44">
        <f>'[14]RSD-NO by Site'!D11</f>
        <v>377</v>
      </c>
      <c r="D16" s="32">
        <f t="shared" si="35"/>
        <v>885871.68945398496</v>
      </c>
      <c r="E16" s="32">
        <v>746.0335616438357</v>
      </c>
      <c r="F16" s="32">
        <f t="shared" si="36"/>
        <v>281254.65273972607</v>
      </c>
      <c r="G16" s="111">
        <f t="shared" si="37"/>
        <v>1167126.3421937111</v>
      </c>
      <c r="H16" s="115">
        <f>IFERROR(VLOOKUP(A16,'[4]RSD Opr + Type 5s'!$A$6:$E$77,5,FALSE),"na")</f>
        <v>3</v>
      </c>
      <c r="I16" s="111">
        <f t="shared" si="38"/>
        <v>4478.0782277149619</v>
      </c>
      <c r="J16" s="115">
        <f>+IFERROR(VLOOKUP(A16,'[4]RSD Opr + Type 5s'!$A$6:$L$77,12,FALSE),"na")</f>
        <v>30</v>
      </c>
      <c r="K16" s="111">
        <f t="shared" si="39"/>
        <v>268684.69366289774</v>
      </c>
      <c r="L16" s="115">
        <f>+IFERROR(VLOOKUP(A16,'[4]RSD Opr + Type 5s'!$A$6:$V$77,22,FALSE),"na")</f>
        <v>6</v>
      </c>
      <c r="M16" s="111">
        <f t="shared" si="40"/>
        <v>98517.721009729168</v>
      </c>
      <c r="N16" s="111">
        <f t="shared" si="41"/>
        <v>371680.49290034187</v>
      </c>
      <c r="O16" s="111">
        <f t="shared" si="42"/>
        <v>1538806.8350940528</v>
      </c>
      <c r="P16" s="111">
        <f>+IFERROR(VLOOKUP(A16,'October midyear adj'!$A$128:$K$203,11,FALSE),"na")</f>
        <v>-281590.51769739069</v>
      </c>
      <c r="Q16" s="115">
        <f>+IFERROR(VLOOKUP(A16,'October midyear adj'!A94:E212,5,FALSE),"Na")</f>
        <v>-66</v>
      </c>
      <c r="R16" s="111">
        <f t="shared" si="43"/>
        <v>77266.0121674572</v>
      </c>
      <c r="S16" s="111">
        <f t="shared" si="44"/>
        <v>-204324.50552993349</v>
      </c>
      <c r="T16" s="111">
        <f>IFERROR(VLOOKUP(A16,'February midyear adj '!$A$128:$K$203,11,FALSE),"na")</f>
        <v>-19199.35347936755</v>
      </c>
      <c r="U16" s="111">
        <f t="shared" si="45"/>
        <v>-223523.85900930106</v>
      </c>
      <c r="V16" s="111">
        <f t="shared" si="46"/>
        <v>1315282.9760847518</v>
      </c>
      <c r="W16" s="34">
        <f t="shared" si="61"/>
        <v>-23017.452081483159</v>
      </c>
      <c r="X16" s="34">
        <f t="shared" si="62"/>
        <v>-3288.2074402118797</v>
      </c>
      <c r="Y16" s="34">
        <f t="shared" si="63"/>
        <v>-26305.659521695037</v>
      </c>
      <c r="Z16" s="33">
        <f t="shared" si="64"/>
        <v>1288977.3165630568</v>
      </c>
      <c r="AA16" s="34">
        <f>'[5]Adjusted Amounts'!I168</f>
        <v>-113097.28260242619</v>
      </c>
      <c r="AB16" s="34">
        <v>56549</v>
      </c>
      <c r="AC16" s="111">
        <f t="shared" si="47"/>
        <v>1232429</v>
      </c>
      <c r="AD16" s="111">
        <f>+'[6]Table 5B1_RSD_Orleans'!P16+'[7]Table 5B1_RSD_Orleans'!W16+('[8]Table 5B1_RSD_Orleans'!W16*3)+'[9]Table 5B1_RSD_Orleans'!W16+'[10]Table 5B1_RSD_Orleans'!W16+'[11]Table 5B1_RSD_Orleans'!W16</f>
        <v>956306</v>
      </c>
      <c r="AE16" s="111">
        <f t="shared" si="48"/>
        <v>276123</v>
      </c>
      <c r="AF16" s="111">
        <f t="shared" si="49"/>
        <v>69030.75</v>
      </c>
      <c r="AG16" s="111">
        <f>C16*$AG$5</f>
        <v>1759836</v>
      </c>
      <c r="AH16" s="111">
        <v>0</v>
      </c>
      <c r="AI16" s="115">
        <f t="shared" si="50"/>
        <v>-66</v>
      </c>
      <c r="AJ16" s="111">
        <f t="shared" si="51"/>
        <v>-308088</v>
      </c>
      <c r="AK16" s="115">
        <f>+IFERROR(VLOOKUP(A16,'February midyear adj '!$A$85:$E$204,5,FALSE),"na")</f>
        <v>-9</v>
      </c>
      <c r="AL16" s="111">
        <f>AK16*$AG$5*0.5</f>
        <v>-21006</v>
      </c>
      <c r="AM16" s="111">
        <f t="shared" si="52"/>
        <v>-329094</v>
      </c>
      <c r="AN16" s="33">
        <f t="shared" si="53"/>
        <v>1430742</v>
      </c>
      <c r="AO16" s="34">
        <f t="shared" si="65"/>
        <v>-25037.985000000001</v>
      </c>
      <c r="AP16" s="34">
        <f t="shared" si="66"/>
        <v>-3576.855</v>
      </c>
      <c r="AQ16" s="34">
        <f t="shared" si="67"/>
        <v>-28614.84</v>
      </c>
      <c r="AR16" s="34">
        <f t="shared" si="68"/>
        <v>1402127.16</v>
      </c>
      <c r="AS16" s="34">
        <f>'[12]Adjusted Amounts'!Q168</f>
        <v>-113292</v>
      </c>
      <c r="AT16" s="34">
        <v>56646</v>
      </c>
      <c r="AU16" s="456">
        <f t="shared" si="54"/>
        <v>1345481.16</v>
      </c>
      <c r="AV16" s="111">
        <f>+'[13]Table 5B1_RSD_Orleans'!Y16+'[7]Table 5B1_RSD_Orleans'!AK16+('[8]Table 5B1_RSD_Orleans'!AK16*3)+'[9]Table 5B1_RSD_Orleans'!AK16+'[10]Table 5B1_RSD_Orleans'!AK16+'[11]Table 5B1_RSD_Orleans'!AK16</f>
        <v>1075216.8671515151</v>
      </c>
      <c r="AW16" s="111">
        <f t="shared" si="55"/>
        <v>270264.29284848482</v>
      </c>
      <c r="AX16" s="456">
        <f t="shared" si="56"/>
        <v>67566.073212121206</v>
      </c>
      <c r="AY16" s="34">
        <f t="shared" si="57"/>
        <v>2577910.16</v>
      </c>
      <c r="AZ16" s="34">
        <f t="shared" si="58"/>
        <v>136596.82321212121</v>
      </c>
      <c r="BA16" s="34">
        <f t="shared" si="59"/>
        <v>26547</v>
      </c>
      <c r="BB16" s="34">
        <f t="shared" si="60"/>
        <v>41019.073212121206</v>
      </c>
      <c r="BC16" s="146">
        <f t="shared" si="34"/>
        <v>0</v>
      </c>
    </row>
    <row r="17" spans="1:55" ht="30.75" customHeight="1">
      <c r="A17" s="35">
        <v>363001</v>
      </c>
      <c r="B17" s="36" t="s">
        <v>15</v>
      </c>
      <c r="C17" s="31">
        <f>'[14]RSD-NO by Site'!D12</f>
        <v>530</v>
      </c>
      <c r="D17" s="32">
        <f t="shared" si="35"/>
        <v>1245389.9082509603</v>
      </c>
      <c r="E17" s="32">
        <v>746.0335616438357</v>
      </c>
      <c r="F17" s="32">
        <f t="shared" si="36"/>
        <v>395397.78767123295</v>
      </c>
      <c r="G17" s="111">
        <f t="shared" si="37"/>
        <v>1640787.6959221931</v>
      </c>
      <c r="H17" s="115">
        <f>IFERROR(VLOOKUP(A17,'[4]RSD Opr + Type 5s'!$A$6:$E$77,5,FALSE),"na")</f>
        <v>16</v>
      </c>
      <c r="I17" s="111">
        <f t="shared" si="38"/>
        <v>23883.083881146464</v>
      </c>
      <c r="J17" s="115">
        <f>+IFERROR(VLOOKUP(A17,'[4]RSD Opr + Type 5s'!$A$6:$L$77,12,FALSE),"na")</f>
        <v>42</v>
      </c>
      <c r="K17" s="111">
        <f t="shared" si="39"/>
        <v>376158.57112805679</v>
      </c>
      <c r="L17" s="115">
        <f>+IFERROR(VLOOKUP(A17,'[4]RSD Opr + Type 5s'!$A$6:$V$77,22,FALSE),"na")</f>
        <v>9</v>
      </c>
      <c r="M17" s="111">
        <f t="shared" si="40"/>
        <v>147776.58151459374</v>
      </c>
      <c r="N17" s="111">
        <f t="shared" si="41"/>
        <v>547818.23652379704</v>
      </c>
      <c r="O17" s="111">
        <f t="shared" si="42"/>
        <v>2188605.9324459899</v>
      </c>
      <c r="P17" s="111">
        <f>+IFERROR(VLOOKUP(A17,'October midyear adj'!$A$128:$K$203,11,FALSE),"na")</f>
        <v>4266.5229954150109</v>
      </c>
      <c r="Q17" s="115">
        <f>+IFERROR(VLOOKUP(A17,'October midyear adj'!A95:E213,5,FALSE),"Na")</f>
        <v>1</v>
      </c>
      <c r="R17" s="111">
        <f t="shared" si="43"/>
        <v>-1170.6971540523818</v>
      </c>
      <c r="S17" s="111">
        <f t="shared" si="44"/>
        <v>3095.825841362629</v>
      </c>
      <c r="T17" s="111">
        <f>IFERROR(VLOOKUP(A17,'February midyear adj '!$A$128:$K$203,11,FALSE),"na")</f>
        <v>-21332.614977075056</v>
      </c>
      <c r="U17" s="111">
        <f t="shared" si="45"/>
        <v>-18236.789135712428</v>
      </c>
      <c r="V17" s="111">
        <f t="shared" si="46"/>
        <v>2170369.1433102777</v>
      </c>
      <c r="W17" s="34">
        <f t="shared" si="61"/>
        <v>-37981.460007929862</v>
      </c>
      <c r="X17" s="34">
        <f t="shared" si="62"/>
        <v>-5425.9228582756941</v>
      </c>
      <c r="Y17" s="34">
        <f t="shared" si="63"/>
        <v>-43407.382866205553</v>
      </c>
      <c r="Z17" s="33">
        <f t="shared" si="64"/>
        <v>2126961.7604440721</v>
      </c>
      <c r="AA17" s="34">
        <f>'[5]Adjusted Amounts'!I169</f>
        <v>-31062.573315865986</v>
      </c>
      <c r="AB17" s="34">
        <v>0</v>
      </c>
      <c r="AC17" s="111">
        <f t="shared" si="47"/>
        <v>2095899</v>
      </c>
      <c r="AD17" s="111">
        <f>+'[6]Table 5B1_RSD_Orleans'!P17+'[7]Table 5B1_RSD_Orleans'!W17+('[8]Table 5B1_RSD_Orleans'!W17*3)+'[9]Table 5B1_RSD_Orleans'!W17+'[10]Table 5B1_RSD_Orleans'!W17+'[11]Table 5B1_RSD_Orleans'!W17</f>
        <v>1435168</v>
      </c>
      <c r="AE17" s="111">
        <f t="shared" si="48"/>
        <v>660731</v>
      </c>
      <c r="AF17" s="111">
        <f t="shared" si="49"/>
        <v>165182.75</v>
      </c>
      <c r="AG17" s="111">
        <f>C17*$AG$5</f>
        <v>2474040</v>
      </c>
      <c r="AH17" s="111">
        <v>0</v>
      </c>
      <c r="AI17" s="115">
        <f t="shared" si="50"/>
        <v>1</v>
      </c>
      <c r="AJ17" s="111">
        <f t="shared" si="51"/>
        <v>4668</v>
      </c>
      <c r="AK17" s="115">
        <f>+IFERROR(VLOOKUP(A17,'February midyear adj '!$A$85:$E$204,5,FALSE),"na")</f>
        <v>-10</v>
      </c>
      <c r="AL17" s="111">
        <f>AK17*$AG$5*0.5</f>
        <v>-23340</v>
      </c>
      <c r="AM17" s="111">
        <f t="shared" si="52"/>
        <v>-18672</v>
      </c>
      <c r="AN17" s="33">
        <f t="shared" si="53"/>
        <v>2455368</v>
      </c>
      <c r="AO17" s="34">
        <f t="shared" si="65"/>
        <v>-42968.94</v>
      </c>
      <c r="AP17" s="34">
        <f t="shared" si="66"/>
        <v>-6138.42</v>
      </c>
      <c r="AQ17" s="34">
        <f t="shared" si="67"/>
        <v>-49107.360000000001</v>
      </c>
      <c r="AR17" s="34">
        <f t="shared" si="68"/>
        <v>2406260.64</v>
      </c>
      <c r="AS17" s="34">
        <f>'[12]Adjusted Amounts'!Q169</f>
        <v>-27298.5</v>
      </c>
      <c r="AT17" s="34">
        <v>0</v>
      </c>
      <c r="AU17" s="456">
        <f t="shared" si="54"/>
        <v>2378962.14</v>
      </c>
      <c r="AV17" s="111">
        <f>+'[13]Table 5B1_RSD_Orleans'!Y17+'[7]Table 5B1_RSD_Orleans'!AK17+('[8]Table 5B1_RSD_Orleans'!AK17*3)+'[9]Table 5B1_RSD_Orleans'!AK17+'[10]Table 5B1_RSD_Orleans'!AK17+'[11]Table 5B1_RSD_Orleans'!AK17</f>
        <v>1599558.6837878786</v>
      </c>
      <c r="AW17" s="111">
        <f t="shared" si="55"/>
        <v>779403.45621212153</v>
      </c>
      <c r="AX17" s="456">
        <f t="shared" si="56"/>
        <v>194850.86405303038</v>
      </c>
      <c r="AY17" s="34">
        <f t="shared" si="57"/>
        <v>4474861.1400000006</v>
      </c>
      <c r="AZ17" s="34">
        <f t="shared" si="58"/>
        <v>360033.61405303038</v>
      </c>
      <c r="BA17" s="34">
        <f t="shared" si="59"/>
        <v>76558</v>
      </c>
      <c r="BB17" s="34">
        <f t="shared" si="60"/>
        <v>118292.86405303038</v>
      </c>
      <c r="BC17" s="146">
        <f t="shared" si="34"/>
        <v>0</v>
      </c>
    </row>
    <row r="18" spans="1:55" ht="30.75" customHeight="1">
      <c r="A18" s="45">
        <v>363002</v>
      </c>
      <c r="B18" s="46" t="s">
        <v>16</v>
      </c>
      <c r="C18" s="47">
        <v>460</v>
      </c>
      <c r="D18" s="32">
        <f t="shared" si="35"/>
        <v>1080904.4486706448</v>
      </c>
      <c r="E18" s="32">
        <v>746.0335616438357</v>
      </c>
      <c r="F18" s="32">
        <f t="shared" si="36"/>
        <v>343175.43835616444</v>
      </c>
      <c r="G18" s="111">
        <f t="shared" si="37"/>
        <v>1424079.8870268092</v>
      </c>
      <c r="H18" s="115">
        <f>IFERROR(VLOOKUP(A18,'[4]RSD Opr + Type 5s'!$A$6:$E$77,5,FALSE),"na")</f>
        <v>11</v>
      </c>
      <c r="I18" s="111">
        <f t="shared" si="38"/>
        <v>16419.620168288195</v>
      </c>
      <c r="J18" s="115">
        <f>+IFERROR(VLOOKUP(A18,'[4]RSD Opr + Type 5s'!$A$6:$L$77,12,FALSE),"na")</f>
        <v>20</v>
      </c>
      <c r="K18" s="111">
        <f t="shared" si="39"/>
        <v>179123.12910859848</v>
      </c>
      <c r="L18" s="115">
        <f>+IFERROR(VLOOKUP(A18,'[4]RSD Opr + Type 5s'!$A$6:$V$77,22,FALSE),"na")</f>
        <v>11</v>
      </c>
      <c r="M18" s="111">
        <f t="shared" si="40"/>
        <v>180615.82185117016</v>
      </c>
      <c r="N18" s="111">
        <f t="shared" si="41"/>
        <v>376158.57112805685</v>
      </c>
      <c r="O18" s="111">
        <f t="shared" si="42"/>
        <v>1800238.458154866</v>
      </c>
      <c r="P18" s="111">
        <f>+IFERROR(VLOOKUP(A18,'October midyear adj'!$A$128:$K$203,11,FALSE),"na")</f>
        <v>-520515.80544063135</v>
      </c>
      <c r="Q18" s="115">
        <f>+IFERROR(VLOOKUP(A18,'October midyear adj'!A96:E214,5,FALSE),"Na")</f>
        <v>-122</v>
      </c>
      <c r="R18" s="111">
        <f t="shared" si="43"/>
        <v>142825.05279439059</v>
      </c>
      <c r="S18" s="111">
        <f t="shared" si="44"/>
        <v>-377690.75264624075</v>
      </c>
      <c r="T18" s="111">
        <f>IFERROR(VLOOKUP(A18,'February midyear adj '!$A$128:$K$203,11,FALSE),"na")</f>
        <v>66131.106428932675</v>
      </c>
      <c r="U18" s="111">
        <f t="shared" si="45"/>
        <v>-311559.64621730807</v>
      </c>
      <c r="V18" s="111">
        <f t="shared" si="46"/>
        <v>1488678.811937558</v>
      </c>
      <c r="W18" s="34">
        <f t="shared" si="61"/>
        <v>-26051.879208907267</v>
      </c>
      <c r="X18" s="34">
        <f t="shared" si="62"/>
        <v>-3721.6970298438951</v>
      </c>
      <c r="Y18" s="34">
        <f t="shared" si="63"/>
        <v>-29773.57623875116</v>
      </c>
      <c r="Z18" s="33">
        <f t="shared" si="64"/>
        <v>1458905.2356988068</v>
      </c>
      <c r="AA18" s="34">
        <v>0</v>
      </c>
      <c r="AB18" s="34">
        <v>0</v>
      </c>
      <c r="AC18" s="111">
        <f t="shared" si="47"/>
        <v>1458905</v>
      </c>
      <c r="AD18" s="111">
        <f>+'[6]Table 5B1_RSD_Orleans'!P18+'[7]Table 5B1_RSD_Orleans'!W18+('[8]Table 5B1_RSD_Orleans'!W18*3)+'[9]Table 5B1_RSD_Orleans'!W18+'[10]Table 5B1_RSD_Orleans'!W18+'[11]Table 5B1_RSD_Orleans'!W18</f>
        <v>955655</v>
      </c>
      <c r="AE18" s="111">
        <f t="shared" si="48"/>
        <v>503250</v>
      </c>
      <c r="AF18" s="111">
        <f t="shared" si="49"/>
        <v>125812.5</v>
      </c>
      <c r="AG18" s="111">
        <f>C18*$AG$5</f>
        <v>2147280</v>
      </c>
      <c r="AH18" s="111">
        <v>0</v>
      </c>
      <c r="AI18" s="115">
        <f t="shared" si="50"/>
        <v>-122</v>
      </c>
      <c r="AJ18" s="111">
        <f t="shared" si="51"/>
        <v>-569496</v>
      </c>
      <c r="AK18" s="115">
        <f>+IFERROR(VLOOKUP(A18,'February midyear adj '!$A$85:$E$204,5,FALSE),"na")</f>
        <v>31</v>
      </c>
      <c r="AL18" s="111">
        <f>AK18*$AG$5*0.5</f>
        <v>72354</v>
      </c>
      <c r="AM18" s="111">
        <f t="shared" si="52"/>
        <v>-497142</v>
      </c>
      <c r="AN18" s="33">
        <f t="shared" si="53"/>
        <v>1650138</v>
      </c>
      <c r="AO18" s="34">
        <f t="shared" si="65"/>
        <v>-28877.415000000005</v>
      </c>
      <c r="AP18" s="34">
        <f t="shared" si="66"/>
        <v>-4125.3450000000003</v>
      </c>
      <c r="AQ18" s="34">
        <f t="shared" si="67"/>
        <v>-33002.76</v>
      </c>
      <c r="AR18" s="34">
        <f t="shared" si="68"/>
        <v>1617135.24</v>
      </c>
      <c r="AS18" s="34">
        <v>0</v>
      </c>
      <c r="AT18" s="34">
        <v>0</v>
      </c>
      <c r="AU18" s="456">
        <f t="shared" si="54"/>
        <v>1617135.24</v>
      </c>
      <c r="AV18" s="111">
        <f>+'[13]Table 5B1_RSD_Orleans'!Y18+'[7]Table 5B1_RSD_Orleans'!AK18+('[8]Table 5B1_RSD_Orleans'!AK18*3)+'[9]Table 5B1_RSD_Orleans'!AK18+'[10]Table 5B1_RSD_Orleans'!AK18+'[11]Table 5B1_RSD_Orleans'!AK18</f>
        <v>1083675.9961212121</v>
      </c>
      <c r="AW18" s="111">
        <f t="shared" si="55"/>
        <v>533459.24387878785</v>
      </c>
      <c r="AX18" s="456">
        <f t="shared" si="56"/>
        <v>133364.81096969696</v>
      </c>
      <c r="AY18" s="34">
        <f t="shared" si="57"/>
        <v>3076040.24</v>
      </c>
      <c r="AZ18" s="34">
        <f t="shared" si="58"/>
        <v>259177.31096969696</v>
      </c>
      <c r="BA18" s="34">
        <f t="shared" si="59"/>
        <v>52400</v>
      </c>
      <c r="BB18" s="34">
        <f t="shared" si="60"/>
        <v>80964.810969696962</v>
      </c>
      <c r="BC18" s="146">
        <f t="shared" si="34"/>
        <v>0</v>
      </c>
    </row>
    <row r="19" spans="1:55" ht="30.75" customHeight="1">
      <c r="A19" s="48">
        <v>364001</v>
      </c>
      <c r="B19" s="49" t="s">
        <v>17</v>
      </c>
      <c r="C19" s="50">
        <f>'[14]RSD-NO by Site'!D13</f>
        <v>523</v>
      </c>
      <c r="D19" s="40">
        <f t="shared" si="35"/>
        <v>1228941.3622929286</v>
      </c>
      <c r="E19" s="40">
        <v>746.0335616438357</v>
      </c>
      <c r="F19" s="40">
        <f t="shared" si="36"/>
        <v>390175.55273972609</v>
      </c>
      <c r="G19" s="120">
        <f t="shared" si="37"/>
        <v>1619116.9150326548</v>
      </c>
      <c r="H19" s="135">
        <f>IFERROR(VLOOKUP(A19,'[4]RSD Opr + Type 5s'!$A$6:$E$77,5,FALSE),"na")</f>
        <v>23</v>
      </c>
      <c r="I19" s="120">
        <f t="shared" si="38"/>
        <v>34331.933079148039</v>
      </c>
      <c r="J19" s="135">
        <f>+IFERROR(VLOOKUP(A19,'[4]RSD Opr + Type 5s'!$A$6:$L$77,12,FALSE),"na")</f>
        <v>45</v>
      </c>
      <c r="K19" s="120">
        <f t="shared" si="39"/>
        <v>403027.04049434658</v>
      </c>
      <c r="L19" s="135">
        <f>+IFERROR(VLOOKUP(A19,'[4]RSD Opr + Type 5s'!$A$6:$V$77,22,FALSE),"na")</f>
        <v>11</v>
      </c>
      <c r="M19" s="120">
        <f t="shared" si="40"/>
        <v>180615.82185117016</v>
      </c>
      <c r="N19" s="120">
        <f t="shared" si="41"/>
        <v>617974.79542466486</v>
      </c>
      <c r="O19" s="120">
        <f t="shared" si="42"/>
        <v>2237091.7104573194</v>
      </c>
      <c r="P19" s="120">
        <f>+IFERROR(VLOOKUP(A19,'October midyear adj'!$A$128:$K$203,11,FALSE),"na")</f>
        <v>76797.4139174702</v>
      </c>
      <c r="Q19" s="135">
        <f>+IFERROR(VLOOKUP(A19,'October midyear adj'!A97:E215,5,FALSE),"Na")</f>
        <v>18</v>
      </c>
      <c r="R19" s="120">
        <f t="shared" si="43"/>
        <v>-21072.548772942871</v>
      </c>
      <c r="S19" s="120">
        <f t="shared" si="44"/>
        <v>55724.865144527328</v>
      </c>
      <c r="T19" s="120">
        <f>IFERROR(VLOOKUP(A19,'February midyear adj '!$A$128:$K$203,11,FALSE),"na")</f>
        <v>14932.830483952537</v>
      </c>
      <c r="U19" s="120">
        <f t="shared" si="45"/>
        <v>70657.695628479865</v>
      </c>
      <c r="V19" s="120">
        <f t="shared" si="46"/>
        <v>2307749.4060857994</v>
      </c>
      <c r="W19" s="42">
        <f t="shared" si="61"/>
        <v>-40385.614606501491</v>
      </c>
      <c r="X19" s="42">
        <f t="shared" si="62"/>
        <v>-5769.3735152144991</v>
      </c>
      <c r="Y19" s="42">
        <f t="shared" si="63"/>
        <v>-46154.988121715993</v>
      </c>
      <c r="Z19" s="41">
        <f t="shared" si="64"/>
        <v>2261594.4179640836</v>
      </c>
      <c r="AA19" s="42">
        <f>'[5]Adjusted Amounts'!I170</f>
        <v>0</v>
      </c>
      <c r="AB19" s="42">
        <v>0</v>
      </c>
      <c r="AC19" s="120">
        <f t="shared" si="47"/>
        <v>2261594</v>
      </c>
      <c r="AD19" s="120">
        <f>+'[6]Table 5B1_RSD_Orleans'!P19+'[7]Table 5B1_RSD_Orleans'!W19+('[8]Table 5B1_RSD_Orleans'!W19*3)+'[9]Table 5B1_RSD_Orleans'!W19+'[10]Table 5B1_RSD_Orleans'!W19+'[11]Table 5B1_RSD_Orleans'!W19</f>
        <v>1458366</v>
      </c>
      <c r="AE19" s="120">
        <f t="shared" si="48"/>
        <v>803228</v>
      </c>
      <c r="AF19" s="120">
        <f t="shared" si="49"/>
        <v>200807</v>
      </c>
      <c r="AG19" s="120">
        <f>C19*$AG$5</f>
        <v>2441364</v>
      </c>
      <c r="AH19" s="120">
        <v>0</v>
      </c>
      <c r="AI19" s="135">
        <f t="shared" si="50"/>
        <v>18</v>
      </c>
      <c r="AJ19" s="120">
        <f t="shared" si="51"/>
        <v>84024</v>
      </c>
      <c r="AK19" s="135">
        <f>+IFERROR(VLOOKUP(A19,'February midyear adj '!$A$85:$E$204,5,FALSE),"na")</f>
        <v>7</v>
      </c>
      <c r="AL19" s="120">
        <f>AK19*$AG$5*0.5</f>
        <v>16338</v>
      </c>
      <c r="AM19" s="120">
        <f t="shared" si="52"/>
        <v>100362</v>
      </c>
      <c r="AN19" s="41">
        <f t="shared" si="53"/>
        <v>2541726</v>
      </c>
      <c r="AO19" s="42">
        <f t="shared" si="65"/>
        <v>-44480.205000000002</v>
      </c>
      <c r="AP19" s="42">
        <f t="shared" si="66"/>
        <v>-6354.3150000000005</v>
      </c>
      <c r="AQ19" s="42">
        <f t="shared" si="67"/>
        <v>-50834.520000000004</v>
      </c>
      <c r="AR19" s="42">
        <f t="shared" si="68"/>
        <v>2490891.48</v>
      </c>
      <c r="AS19" s="42">
        <v>0</v>
      </c>
      <c r="AT19" s="42">
        <v>0</v>
      </c>
      <c r="AU19" s="457">
        <f t="shared" si="54"/>
        <v>2490891.48</v>
      </c>
      <c r="AV19" s="120">
        <f>+'[13]Table 5B1_RSD_Orleans'!Y19+'[7]Table 5B1_RSD_Orleans'!AK19+('[8]Table 5B1_RSD_Orleans'!AK19*3)+'[9]Table 5B1_RSD_Orleans'!AK19+'[10]Table 5B1_RSD_Orleans'!AK19+'[11]Table 5B1_RSD_Orleans'!AK19</f>
        <v>1596391.1328484847</v>
      </c>
      <c r="AW19" s="120">
        <f t="shared" si="55"/>
        <v>894500.34715151531</v>
      </c>
      <c r="AX19" s="457">
        <f t="shared" si="56"/>
        <v>223625.08678787883</v>
      </c>
      <c r="AY19" s="42">
        <f t="shared" si="57"/>
        <v>4752485.4800000004</v>
      </c>
      <c r="AZ19" s="42">
        <f t="shared" si="58"/>
        <v>424432.08678787883</v>
      </c>
      <c r="BA19" s="42">
        <f t="shared" si="59"/>
        <v>87864</v>
      </c>
      <c r="BB19" s="42">
        <f t="shared" si="60"/>
        <v>135761.08678787883</v>
      </c>
      <c r="BC19" s="146">
        <f t="shared" si="34"/>
        <v>0</v>
      </c>
    </row>
    <row r="20" spans="1:55" ht="47.25" customHeight="1">
      <c r="A20" s="51">
        <v>366001</v>
      </c>
      <c r="B20" s="52" t="s">
        <v>18</v>
      </c>
      <c r="C20" s="24">
        <f>'[14]RSD-NO by Site'!D14</f>
        <v>121</v>
      </c>
      <c r="D20" s="25">
        <f t="shared" si="35"/>
        <v>284324.86584597395</v>
      </c>
      <c r="E20" s="25">
        <v>746.0335616438357</v>
      </c>
      <c r="F20" s="25">
        <f t="shared" si="36"/>
        <v>90270.060958904112</v>
      </c>
      <c r="G20" s="121">
        <f t="shared" si="37"/>
        <v>374594.92680487805</v>
      </c>
      <c r="H20" s="134">
        <f>IFERROR(VLOOKUP(A20,'[4]RSD Opr + Type 5s'!$A$6:$E$77,5,FALSE),"na")</f>
        <v>3</v>
      </c>
      <c r="I20" s="121">
        <f t="shared" si="38"/>
        <v>4478.0782277149619</v>
      </c>
      <c r="J20" s="134">
        <f>+IFERROR(VLOOKUP(A20,'[4]RSD Opr + Type 5s'!$A$6:$L$77,12,FALSE),"na")</f>
        <v>4</v>
      </c>
      <c r="K20" s="121">
        <f t="shared" si="39"/>
        <v>35824.625821719696</v>
      </c>
      <c r="L20" s="134">
        <f>+IFERROR(VLOOKUP(A20,'[4]RSD Opr + Type 5s'!$A$6:$V$77,22,FALSE),"na")</f>
        <v>0</v>
      </c>
      <c r="M20" s="121">
        <f t="shared" si="40"/>
        <v>0</v>
      </c>
      <c r="N20" s="121">
        <f t="shared" si="41"/>
        <v>40302.704049434658</v>
      </c>
      <c r="O20" s="121">
        <f t="shared" si="42"/>
        <v>414897.63085431268</v>
      </c>
      <c r="P20" s="121">
        <f>+IFERROR(VLOOKUP(A20,'October midyear adj'!$A$128:$K$203,11,FALSE),"na")</f>
        <v>174927.44281201545</v>
      </c>
      <c r="Q20" s="134">
        <f>+IFERROR(VLOOKUP(A20,'October midyear adj'!A98:E216,5,FALSE),"Na")</f>
        <v>41</v>
      </c>
      <c r="R20" s="121">
        <f t="shared" si="43"/>
        <v>-47998.583316147655</v>
      </c>
      <c r="S20" s="121">
        <f t="shared" si="44"/>
        <v>126928.8594958678</v>
      </c>
      <c r="T20" s="121">
        <f>IFERROR(VLOOKUP(A20,'February midyear adj '!$A$128:$K$203,11,FALSE),"na")</f>
        <v>4266.5229954150109</v>
      </c>
      <c r="U20" s="121">
        <f t="shared" si="45"/>
        <v>131195.3824912828</v>
      </c>
      <c r="V20" s="121">
        <f t="shared" si="46"/>
        <v>546093.01334559545</v>
      </c>
      <c r="W20" s="27">
        <f t="shared" si="61"/>
        <v>-9556.6277335479208</v>
      </c>
      <c r="X20" s="27">
        <f t="shared" si="62"/>
        <v>-1365.2325333639888</v>
      </c>
      <c r="Y20" s="27">
        <f t="shared" si="63"/>
        <v>-10921.86026691191</v>
      </c>
      <c r="Z20" s="26">
        <f t="shared" si="64"/>
        <v>535171.15307868354</v>
      </c>
      <c r="AA20" s="27">
        <f>'[5]Adjusted Amounts'!I171</f>
        <v>-1055.7168538204842</v>
      </c>
      <c r="AB20" s="27">
        <v>0</v>
      </c>
      <c r="AC20" s="121">
        <f t="shared" si="47"/>
        <v>534115</v>
      </c>
      <c r="AD20" s="445">
        <f>+'[6]Table 5B1_RSD_Orleans'!P20+'[7]Table 5B1_RSD_Orleans'!W20+('[8]Table 5B1_RSD_Orleans'!W20*3)+'[9]Table 5B1_RSD_Orleans'!W20+'[10]Table 5B1_RSD_Orleans'!W20+'[11]Table 5B1_RSD_Orleans'!W20</f>
        <v>412520</v>
      </c>
      <c r="AE20" s="445">
        <f t="shared" si="48"/>
        <v>121595</v>
      </c>
      <c r="AF20" s="445">
        <f t="shared" si="49"/>
        <v>30398.75</v>
      </c>
      <c r="AG20" s="121">
        <v>0</v>
      </c>
      <c r="AH20" s="121">
        <f>C20*$AH$5</f>
        <v>657393</v>
      </c>
      <c r="AI20" s="134">
        <f t="shared" si="50"/>
        <v>41</v>
      </c>
      <c r="AJ20" s="121">
        <f>AI20*$AH$5</f>
        <v>222753</v>
      </c>
      <c r="AK20" s="134">
        <f>+IFERROR(VLOOKUP(A20,'February midyear adj '!$A$85:$E$204,5,FALSE),"na")</f>
        <v>2</v>
      </c>
      <c r="AL20" s="121">
        <f>AK20*$AH$5*0.5</f>
        <v>5433</v>
      </c>
      <c r="AM20" s="121">
        <f t="shared" si="52"/>
        <v>228186</v>
      </c>
      <c r="AN20" s="26">
        <f t="shared" si="53"/>
        <v>885579</v>
      </c>
      <c r="AO20" s="27">
        <f t="shared" si="65"/>
        <v>-15497.632500000002</v>
      </c>
      <c r="AP20" s="27">
        <f t="shared" si="66"/>
        <v>-2213.9475000000002</v>
      </c>
      <c r="AQ20" s="27">
        <f t="shared" si="67"/>
        <v>-17711.580000000002</v>
      </c>
      <c r="AR20" s="27">
        <f t="shared" si="68"/>
        <v>867867.42</v>
      </c>
      <c r="AS20" s="27">
        <f>'[12]Adjusted Amounts'!Q171</f>
        <v>-2789.5</v>
      </c>
      <c r="AT20" s="27">
        <v>0</v>
      </c>
      <c r="AU20" s="455">
        <f t="shared" si="54"/>
        <v>865077.92</v>
      </c>
      <c r="AV20" s="445">
        <f>+'[13]Table 5B1_RSD_Orleans'!Y20+'[7]Table 5B1_RSD_Orleans'!AK20+('[8]Table 5B1_RSD_Orleans'!AK20*3)+'[9]Table 5B1_RSD_Orleans'!AK20+'[10]Table 5B1_RSD_Orleans'!AK20+'[11]Table 5B1_RSD_Orleans'!AK20</f>
        <v>580285.0787272728</v>
      </c>
      <c r="AW20" s="445">
        <f t="shared" si="55"/>
        <v>284792.84127272724</v>
      </c>
      <c r="AX20" s="461">
        <f t="shared" si="56"/>
        <v>71198.210318181809</v>
      </c>
      <c r="AY20" s="27">
        <f t="shared" si="57"/>
        <v>1399192.92</v>
      </c>
      <c r="AZ20" s="27">
        <f t="shared" si="58"/>
        <v>101596.96031818181</v>
      </c>
      <c r="BA20" s="27">
        <f t="shared" si="59"/>
        <v>27974</v>
      </c>
      <c r="BB20" s="27">
        <f t="shared" si="60"/>
        <v>43224.210318181809</v>
      </c>
      <c r="BC20" s="146">
        <f t="shared" si="34"/>
        <v>0</v>
      </c>
    </row>
    <row r="21" spans="1:55" ht="30.75" customHeight="1">
      <c r="A21" s="35">
        <v>367001</v>
      </c>
      <c r="B21" s="36" t="s">
        <v>19</v>
      </c>
      <c r="C21" s="31">
        <f>'[14]RSD-NO by Site'!D15</f>
        <v>393</v>
      </c>
      <c r="D21" s="32">
        <f t="shared" si="35"/>
        <v>923468.36592948565</v>
      </c>
      <c r="E21" s="32">
        <v>746.0335616438357</v>
      </c>
      <c r="F21" s="32">
        <f t="shared" si="36"/>
        <v>293191.18972602743</v>
      </c>
      <c r="G21" s="111">
        <f t="shared" si="37"/>
        <v>1216659.555655513</v>
      </c>
      <c r="H21" s="115">
        <f>IFERROR(VLOOKUP(A21,'[4]RSD Opr + Type 5s'!$A$6:$E$77,5,FALSE),"na")</f>
        <v>16</v>
      </c>
      <c r="I21" s="111">
        <f t="shared" si="38"/>
        <v>23883.083881146464</v>
      </c>
      <c r="J21" s="115">
        <f>+IFERROR(VLOOKUP(A21,'[4]RSD Opr + Type 5s'!$A$6:$L$77,12,FALSE),"na")</f>
        <v>38</v>
      </c>
      <c r="K21" s="111">
        <f t="shared" si="39"/>
        <v>340333.94530633709</v>
      </c>
      <c r="L21" s="115">
        <f>+IFERROR(VLOOKUP(A21,'[4]RSD Opr + Type 5s'!$A$6:$V$77,22,FALSE),"na")</f>
        <v>3</v>
      </c>
      <c r="M21" s="111">
        <f t="shared" si="40"/>
        <v>49258.860504864584</v>
      </c>
      <c r="N21" s="111">
        <f t="shared" si="41"/>
        <v>413475.88969234814</v>
      </c>
      <c r="O21" s="111">
        <f t="shared" si="42"/>
        <v>1630135.4453478612</v>
      </c>
      <c r="P21" s="111">
        <f>+IFERROR(VLOOKUP(A21,'October midyear adj'!$A$128:$K$203,11,FALSE),"na")</f>
        <v>-162127.87382577042</v>
      </c>
      <c r="Q21" s="115">
        <f>+IFERROR(VLOOKUP(A21,'October midyear adj'!A99:E217,5,FALSE),"Na")</f>
        <v>-38</v>
      </c>
      <c r="R21" s="111">
        <f t="shared" si="43"/>
        <v>44486.491853990512</v>
      </c>
      <c r="S21" s="111">
        <f t="shared" si="44"/>
        <v>-117641.38197177992</v>
      </c>
      <c r="T21" s="111">
        <f>IFERROR(VLOOKUP(A21,'February midyear adj '!$A$128:$K$203,11,FALSE),"na")</f>
        <v>34132.183963320087</v>
      </c>
      <c r="U21" s="111">
        <f t="shared" si="45"/>
        <v>-83509.198008459833</v>
      </c>
      <c r="V21" s="111">
        <f t="shared" si="46"/>
        <v>1546626.2473394014</v>
      </c>
      <c r="W21" s="34">
        <f t="shared" si="61"/>
        <v>-27065.959328439527</v>
      </c>
      <c r="X21" s="34">
        <f t="shared" si="62"/>
        <v>-3866.5656183485034</v>
      </c>
      <c r="Y21" s="34">
        <f t="shared" si="63"/>
        <v>-30932.524946788031</v>
      </c>
      <c r="Z21" s="33">
        <f t="shared" si="64"/>
        <v>1515693.7223926133</v>
      </c>
      <c r="AA21" s="34">
        <f>'[5]Adjusted Amounts'!I172</f>
        <v>0</v>
      </c>
      <c r="AB21" s="34">
        <v>0</v>
      </c>
      <c r="AC21" s="111">
        <f t="shared" si="47"/>
        <v>1515694</v>
      </c>
      <c r="AD21" s="111">
        <f>+'[6]Table 5B1_RSD_Orleans'!P21+'[7]Table 5B1_RSD_Orleans'!W21+('[8]Table 5B1_RSD_Orleans'!W21*3)+'[9]Table 5B1_RSD_Orleans'!W21+'[10]Table 5B1_RSD_Orleans'!W21+'[11]Table 5B1_RSD_Orleans'!W21</f>
        <v>1151183</v>
      </c>
      <c r="AE21" s="111">
        <f t="shared" si="48"/>
        <v>364511</v>
      </c>
      <c r="AF21" s="111">
        <f t="shared" si="49"/>
        <v>91127.75</v>
      </c>
      <c r="AG21" s="111">
        <f>C21*$AG$5</f>
        <v>1834524</v>
      </c>
      <c r="AH21" s="111">
        <v>0</v>
      </c>
      <c r="AI21" s="115">
        <f t="shared" si="50"/>
        <v>-38</v>
      </c>
      <c r="AJ21" s="111">
        <f t="shared" si="51"/>
        <v>-177384</v>
      </c>
      <c r="AK21" s="115">
        <f>+IFERROR(VLOOKUP(A21,'February midyear adj '!$A$85:$E$204,5,FALSE),"na")</f>
        <v>16</v>
      </c>
      <c r="AL21" s="111">
        <f>AK21*$AG$5*0.5</f>
        <v>37344</v>
      </c>
      <c r="AM21" s="111">
        <f t="shared" si="52"/>
        <v>-140040</v>
      </c>
      <c r="AN21" s="33">
        <f t="shared" si="53"/>
        <v>1694484</v>
      </c>
      <c r="AO21" s="34">
        <f t="shared" si="65"/>
        <v>-29653.47</v>
      </c>
      <c r="AP21" s="34">
        <f t="shared" si="66"/>
        <v>-4236.21</v>
      </c>
      <c r="AQ21" s="34">
        <f t="shared" si="67"/>
        <v>-33889.68</v>
      </c>
      <c r="AR21" s="34">
        <f t="shared" si="68"/>
        <v>1660594.32</v>
      </c>
      <c r="AS21" s="34">
        <f>'[12]Adjusted Amounts'!Q172</f>
        <v>0</v>
      </c>
      <c r="AT21" s="34">
        <v>0</v>
      </c>
      <c r="AU21" s="456">
        <f t="shared" si="54"/>
        <v>1660594.32</v>
      </c>
      <c r="AV21" s="111">
        <f>+'[13]Table 5B1_RSD_Orleans'!Y21+'[7]Table 5B1_RSD_Orleans'!AK21+('[8]Table 5B1_RSD_Orleans'!AK21*3)+'[9]Table 5B1_RSD_Orleans'!AK21+'[10]Table 5B1_RSD_Orleans'!AK21+'[11]Table 5B1_RSD_Orleans'!AK21</f>
        <v>1199582.5134545455</v>
      </c>
      <c r="AW21" s="111">
        <f t="shared" si="55"/>
        <v>461011.80654545454</v>
      </c>
      <c r="AX21" s="456">
        <f t="shared" si="56"/>
        <v>115252.95163636364</v>
      </c>
      <c r="AY21" s="34">
        <f t="shared" si="57"/>
        <v>3176288.3200000003</v>
      </c>
      <c r="AZ21" s="34">
        <f t="shared" si="58"/>
        <v>206380.70163636364</v>
      </c>
      <c r="BA21" s="34">
        <f t="shared" si="59"/>
        <v>45284</v>
      </c>
      <c r="BB21" s="34">
        <f t="shared" si="60"/>
        <v>69968.951636363636</v>
      </c>
      <c r="BC21" s="146">
        <f t="shared" si="34"/>
        <v>0</v>
      </c>
    </row>
    <row r="22" spans="1:55" ht="48.75" customHeight="1">
      <c r="A22" s="35">
        <v>368001</v>
      </c>
      <c r="B22" s="36" t="s">
        <v>20</v>
      </c>
      <c r="C22" s="31">
        <f>'[14]RSD-NO by Site'!D16</f>
        <v>262</v>
      </c>
      <c r="D22" s="32">
        <f t="shared" si="35"/>
        <v>615645.57728632377</v>
      </c>
      <c r="E22" s="32">
        <v>746.0335616438357</v>
      </c>
      <c r="F22" s="32">
        <f t="shared" si="36"/>
        <v>195460.79315068494</v>
      </c>
      <c r="G22" s="111">
        <f t="shared" si="37"/>
        <v>811106.37043700868</v>
      </c>
      <c r="H22" s="115">
        <f>IFERROR(VLOOKUP(A22,'[4]RSD Opr + Type 5s'!$A$6:$E$77,5,FALSE),"na")</f>
        <v>14</v>
      </c>
      <c r="I22" s="111">
        <f t="shared" si="38"/>
        <v>20897.698396003158</v>
      </c>
      <c r="J22" s="115">
        <f>+IFERROR(VLOOKUP(A22,'[4]RSD Opr + Type 5s'!$A$6:$L$77,12,FALSE),"na")</f>
        <v>23</v>
      </c>
      <c r="K22" s="111">
        <f t="shared" si="39"/>
        <v>205991.59847488825</v>
      </c>
      <c r="L22" s="115">
        <f>+IFERROR(VLOOKUP(A22,'[4]RSD Opr + Type 5s'!$A$6:$V$77,22,FALSE),"na")</f>
        <v>16</v>
      </c>
      <c r="M22" s="111">
        <f t="shared" si="40"/>
        <v>262713.92269261112</v>
      </c>
      <c r="N22" s="111">
        <f t="shared" si="41"/>
        <v>489603.21956350253</v>
      </c>
      <c r="O22" s="111">
        <f t="shared" si="42"/>
        <v>1300709.5900005111</v>
      </c>
      <c r="P22" s="111">
        <f>+IFERROR(VLOOKUP(A22,'October midyear adj'!$A$128:$K$203,11,FALSE),"na")</f>
        <v>426652.2995415011</v>
      </c>
      <c r="Q22" s="115">
        <f>+IFERROR(VLOOKUP(A22,'October midyear adj'!A100:E218,5,FALSE),"Na")</f>
        <v>100</v>
      </c>
      <c r="R22" s="111">
        <f t="shared" si="43"/>
        <v>-117069.71540523818</v>
      </c>
      <c r="S22" s="111">
        <f t="shared" si="44"/>
        <v>309582.58413626289</v>
      </c>
      <c r="T22" s="111">
        <f>IFERROR(VLOOKUP(A22,'February midyear adj '!$A$128:$K$203,11,FALSE),"na")</f>
        <v>14932.830483952537</v>
      </c>
      <c r="U22" s="111">
        <f t="shared" si="45"/>
        <v>324515.41462021542</v>
      </c>
      <c r="V22" s="111">
        <f t="shared" si="46"/>
        <v>1625225.0046207267</v>
      </c>
      <c r="W22" s="34">
        <f t="shared" si="61"/>
        <v>-28441.437580862719</v>
      </c>
      <c r="X22" s="34">
        <f t="shared" si="62"/>
        <v>-4063.0625115518169</v>
      </c>
      <c r="Y22" s="34">
        <f t="shared" si="63"/>
        <v>-32504.500092414535</v>
      </c>
      <c r="Z22" s="33">
        <f t="shared" si="64"/>
        <v>1592720.5045283122</v>
      </c>
      <c r="AA22" s="34">
        <v>520</v>
      </c>
      <c r="AB22" s="34">
        <v>0</v>
      </c>
      <c r="AC22" s="111">
        <f t="shared" si="47"/>
        <v>1593241</v>
      </c>
      <c r="AD22" s="111">
        <f>+'[6]Table 5B1_RSD_Orleans'!P22+'[7]Table 5B1_RSD_Orleans'!W22+('[8]Table 5B1_RSD_Orleans'!W22*3)+'[9]Table 5B1_RSD_Orleans'!W22+'[10]Table 5B1_RSD_Orleans'!W22+'[11]Table 5B1_RSD_Orleans'!W22</f>
        <v>989482</v>
      </c>
      <c r="AE22" s="111">
        <f t="shared" si="48"/>
        <v>603759</v>
      </c>
      <c r="AF22" s="111">
        <f t="shared" si="49"/>
        <v>150939.75</v>
      </c>
      <c r="AG22" s="111">
        <v>0</v>
      </c>
      <c r="AH22" s="111">
        <f>C22*$AH$5</f>
        <v>1423446</v>
      </c>
      <c r="AI22" s="115">
        <f t="shared" si="50"/>
        <v>100</v>
      </c>
      <c r="AJ22" s="111">
        <f>AI22*$AH$5</f>
        <v>543300</v>
      </c>
      <c r="AK22" s="115">
        <f>+IFERROR(VLOOKUP(A22,'February midyear adj '!$A$85:$E$204,5,FALSE),"na")</f>
        <v>7</v>
      </c>
      <c r="AL22" s="111">
        <f>AK22*$AH$5*0.5</f>
        <v>19015.5</v>
      </c>
      <c r="AM22" s="111">
        <f t="shared" si="52"/>
        <v>562315.5</v>
      </c>
      <c r="AN22" s="33">
        <f t="shared" si="53"/>
        <v>1985761.5</v>
      </c>
      <c r="AO22" s="34">
        <f t="shared" si="65"/>
        <v>-34750.826250000006</v>
      </c>
      <c r="AP22" s="34">
        <f t="shared" si="66"/>
        <v>-4964.4037500000004</v>
      </c>
      <c r="AQ22" s="34">
        <f t="shared" si="67"/>
        <v>-39715.230000000003</v>
      </c>
      <c r="AR22" s="34">
        <f t="shared" si="68"/>
        <v>1946046.27</v>
      </c>
      <c r="AS22" s="34">
        <v>0</v>
      </c>
      <c r="AT22" s="34">
        <v>0</v>
      </c>
      <c r="AU22" s="456">
        <f t="shared" si="54"/>
        <v>1946046.27</v>
      </c>
      <c r="AV22" s="111">
        <f>+'[13]Table 5B1_RSD_Orleans'!Y22+'[7]Table 5B1_RSD_Orleans'!AK22+('[8]Table 5B1_RSD_Orleans'!AK22*3)+'[9]Table 5B1_RSD_Orleans'!AK22+'[10]Table 5B1_RSD_Orleans'!AK22+'[11]Table 5B1_RSD_Orleans'!AK22</f>
        <v>1235967.3193333331</v>
      </c>
      <c r="AW22" s="111">
        <f t="shared" si="55"/>
        <v>710078.95066666696</v>
      </c>
      <c r="AX22" s="456">
        <f t="shared" si="56"/>
        <v>177519.73766666674</v>
      </c>
      <c r="AY22" s="34">
        <f t="shared" si="57"/>
        <v>3539287.27</v>
      </c>
      <c r="AZ22" s="34">
        <f t="shared" si="58"/>
        <v>328459.48766666674</v>
      </c>
      <c r="BA22" s="34">
        <f t="shared" si="59"/>
        <v>69749</v>
      </c>
      <c r="BB22" s="34">
        <f t="shared" si="60"/>
        <v>107770.73766666674</v>
      </c>
      <c r="BC22" s="146">
        <f t="shared" si="34"/>
        <v>0</v>
      </c>
    </row>
    <row r="23" spans="1:55" ht="29.25">
      <c r="A23" s="35">
        <v>369001</v>
      </c>
      <c r="B23" s="36" t="s">
        <v>82</v>
      </c>
      <c r="C23" s="31">
        <f>'[14]RSD-NO by Site'!D17+15</f>
        <v>651</v>
      </c>
      <c r="D23" s="32">
        <f t="shared" si="35"/>
        <v>1529714.7740969341</v>
      </c>
      <c r="E23" s="32">
        <v>746.0335616438357</v>
      </c>
      <c r="F23" s="32">
        <f t="shared" si="36"/>
        <v>485667.84863013704</v>
      </c>
      <c r="G23" s="111">
        <f t="shared" si="37"/>
        <v>2015382.6227270712</v>
      </c>
      <c r="H23" s="115">
        <f>IFERROR(VLOOKUP(A23,'[4]RSD Opr + Type 5s'!$A$6:$E$77,5,FALSE),"na")+'[4]RSD Opr + Type 5s'!$E$25</f>
        <v>24</v>
      </c>
      <c r="I23" s="111">
        <f t="shared" si="38"/>
        <v>35824.625821719696</v>
      </c>
      <c r="J23" s="115">
        <f>+IFERROR(VLOOKUP(A23,'[4]RSD Opr + Type 5s'!$A$6:$L$77,12,FALSE),"na")+'[4]RSD Opr + Type 5s'!$L$25</f>
        <v>78</v>
      </c>
      <c r="K23" s="111">
        <f t="shared" si="39"/>
        <v>698580.20352353412</v>
      </c>
      <c r="L23" s="115">
        <f>+IFERROR(VLOOKUP(A23,'[4]RSD Opr + Type 5s'!$A$6:$V$77,22,FALSE),"na")+'[4]RSD Opr + Type 5s'!$V$25</f>
        <v>20</v>
      </c>
      <c r="M23" s="111">
        <f t="shared" si="40"/>
        <v>328392.40336576389</v>
      </c>
      <c r="N23" s="111">
        <f t="shared" si="41"/>
        <v>1062797.2327110176</v>
      </c>
      <c r="O23" s="111">
        <f t="shared" si="42"/>
        <v>3078179.855438089</v>
      </c>
      <c r="P23" s="111">
        <f>+IFERROR(VLOOKUP(A23,'October midyear adj'!$A$128:$K$203,11,FALSE),"na")</f>
        <v>-179193.96580743045</v>
      </c>
      <c r="Q23" s="115">
        <f>+IFERROR(VLOOKUP(A23,'October midyear adj'!A101:E219,5,FALSE),"Na")</f>
        <v>-42</v>
      </c>
      <c r="R23" s="111">
        <f t="shared" si="43"/>
        <v>49169.280470200036</v>
      </c>
      <c r="S23" s="111">
        <f t="shared" si="44"/>
        <v>-130024.68533723042</v>
      </c>
      <c r="T23" s="111">
        <f>IFERROR(VLOOKUP(A23,'February midyear adj '!$A$128:$K$203,11,FALSE),"na")</f>
        <v>4266.5229954150109</v>
      </c>
      <c r="U23" s="111">
        <f t="shared" si="45"/>
        <v>-125758.1623418154</v>
      </c>
      <c r="V23" s="111">
        <f t="shared" si="46"/>
        <v>2952421.6930962736</v>
      </c>
      <c r="W23" s="34">
        <f t="shared" si="61"/>
        <v>-51667.37962918479</v>
      </c>
      <c r="X23" s="34">
        <f t="shared" si="62"/>
        <v>-7381.0542327406838</v>
      </c>
      <c r="Y23" s="34">
        <f t="shared" si="63"/>
        <v>-59048.43386192547</v>
      </c>
      <c r="Z23" s="33">
        <f t="shared" si="64"/>
        <v>2893373.2592343483</v>
      </c>
      <c r="AA23" s="34">
        <f>'[5]Adjusted Amounts'!I174</f>
        <v>2908.2904948400173</v>
      </c>
      <c r="AB23" s="34">
        <v>0</v>
      </c>
      <c r="AC23" s="111">
        <f t="shared" si="47"/>
        <v>2896282</v>
      </c>
      <c r="AD23" s="111">
        <f>+'[6]Table 5B1_RSD_Orleans'!P23+'[7]Table 5B1_RSD_Orleans'!W23+('[8]Table 5B1_RSD_Orleans'!W23*3)+'[9]Table 5B1_RSD_Orleans'!W23+'[10]Table 5B1_RSD_Orleans'!W23+'[11]Table 5B1_RSD_Orleans'!W23</f>
        <v>2026712</v>
      </c>
      <c r="AE23" s="111">
        <f t="shared" si="48"/>
        <v>869570</v>
      </c>
      <c r="AF23" s="111">
        <f t="shared" si="49"/>
        <v>217392.5</v>
      </c>
      <c r="AG23" s="111">
        <f t="shared" ref="AG23:AG40" si="69">C23*$AG$5</f>
        <v>3038868</v>
      </c>
      <c r="AH23" s="111">
        <v>0</v>
      </c>
      <c r="AI23" s="115">
        <f t="shared" si="50"/>
        <v>-42</v>
      </c>
      <c r="AJ23" s="111">
        <f t="shared" si="51"/>
        <v>-196056</v>
      </c>
      <c r="AK23" s="115">
        <f>+IFERROR(VLOOKUP(A23,'February midyear adj '!$A$85:$E$204,5,FALSE),"na")</f>
        <v>2</v>
      </c>
      <c r="AL23" s="111">
        <f t="shared" ref="AL23:AL40" si="70">AK23*$AG$5*0.5</f>
        <v>4668</v>
      </c>
      <c r="AM23" s="111">
        <f t="shared" si="52"/>
        <v>-191388</v>
      </c>
      <c r="AN23" s="33">
        <f t="shared" si="53"/>
        <v>2847480</v>
      </c>
      <c r="AO23" s="34">
        <f t="shared" si="65"/>
        <v>-49830.9</v>
      </c>
      <c r="AP23" s="34">
        <f t="shared" si="66"/>
        <v>-7118.7</v>
      </c>
      <c r="AQ23" s="34">
        <f t="shared" si="67"/>
        <v>-56949.599999999999</v>
      </c>
      <c r="AR23" s="34">
        <f t="shared" si="68"/>
        <v>2790530.4</v>
      </c>
      <c r="AS23" s="34">
        <f>'[12]Adjusted Amounts'!Q174</f>
        <v>6304.5</v>
      </c>
      <c r="AT23" s="34">
        <v>0</v>
      </c>
      <c r="AU23" s="456">
        <f t="shared" si="54"/>
        <v>2796834.9</v>
      </c>
      <c r="AV23" s="111">
        <f>+'[13]Table 5B1_RSD_Orleans'!Y23+'[7]Table 5B1_RSD_Orleans'!AK23+('[8]Table 5B1_RSD_Orleans'!AK23*3)+'[9]Table 5B1_RSD_Orleans'!AK23+'[10]Table 5B1_RSD_Orleans'!AK23+'[11]Table 5B1_RSD_Orleans'!AK23</f>
        <v>1991298.3691818183</v>
      </c>
      <c r="AW23" s="111">
        <f t="shared" si="55"/>
        <v>805536.53081818158</v>
      </c>
      <c r="AX23" s="456">
        <f t="shared" si="56"/>
        <v>201384.13270454539</v>
      </c>
      <c r="AY23" s="34">
        <f t="shared" si="57"/>
        <v>5693116.9000000004</v>
      </c>
      <c r="AZ23" s="34">
        <f t="shared" si="58"/>
        <v>418776.63270454539</v>
      </c>
      <c r="BA23" s="34">
        <f t="shared" si="59"/>
        <v>79125</v>
      </c>
      <c r="BB23" s="34">
        <f t="shared" si="60"/>
        <v>122259.13270454539</v>
      </c>
      <c r="BC23" s="146">
        <f t="shared" si="34"/>
        <v>0</v>
      </c>
    </row>
    <row r="24" spans="1:55" ht="30.75" customHeight="1">
      <c r="A24" s="48">
        <v>369002</v>
      </c>
      <c r="B24" s="49" t="s">
        <v>83</v>
      </c>
      <c r="C24" s="50">
        <f>'[14]RSD-NO by Site'!D18</f>
        <v>655</v>
      </c>
      <c r="D24" s="40">
        <f t="shared" si="35"/>
        <v>1539113.9432158093</v>
      </c>
      <c r="E24" s="40">
        <v>746.0335616438357</v>
      </c>
      <c r="F24" s="40">
        <f t="shared" si="36"/>
        <v>488651.9828767124</v>
      </c>
      <c r="G24" s="120">
        <f t="shared" si="37"/>
        <v>2027765.9260925218</v>
      </c>
      <c r="H24" s="135">
        <f>IFERROR(VLOOKUP(A24,'[4]RSD Opr + Type 5s'!$A$6:$E$77,5,FALSE),"na")</f>
        <v>21</v>
      </c>
      <c r="I24" s="120">
        <f t="shared" si="38"/>
        <v>31346.547594004733</v>
      </c>
      <c r="J24" s="135">
        <f>+IFERROR(VLOOKUP(A24,'[4]RSD Opr + Type 5s'!$A$6:$L$77,12,FALSE),"na")</f>
        <v>46</v>
      </c>
      <c r="K24" s="120">
        <f t="shared" si="39"/>
        <v>411983.19694977649</v>
      </c>
      <c r="L24" s="135">
        <f>+IFERROR(VLOOKUP(A24,'[4]RSD Opr + Type 5s'!$A$6:$V$77,22,FALSE),"na")</f>
        <v>27</v>
      </c>
      <c r="M24" s="120">
        <f t="shared" si="40"/>
        <v>443329.74454378127</v>
      </c>
      <c r="N24" s="120">
        <f t="shared" si="41"/>
        <v>886659.48908756254</v>
      </c>
      <c r="O24" s="120">
        <f t="shared" si="42"/>
        <v>2914425.4151800843</v>
      </c>
      <c r="P24" s="120">
        <f>+IFERROR(VLOOKUP(A24,'October midyear adj'!$A$128:$K$203,11,FALSE),"na")</f>
        <v>153594.8278349404</v>
      </c>
      <c r="Q24" s="135">
        <f>+IFERROR(VLOOKUP(A24,'October midyear adj'!A102:E220,5,FALSE),"Na")</f>
        <v>36</v>
      </c>
      <c r="R24" s="120">
        <f t="shared" si="43"/>
        <v>-42145.097545885743</v>
      </c>
      <c r="S24" s="120">
        <f t="shared" si="44"/>
        <v>111449.73028905466</v>
      </c>
      <c r="T24" s="120">
        <f>IFERROR(VLOOKUP(A24,'February midyear adj '!$A$128:$K$203,11,FALSE),"na")</f>
        <v>2133.2614977075054</v>
      </c>
      <c r="U24" s="120">
        <f t="shared" si="45"/>
        <v>113582.99178676216</v>
      </c>
      <c r="V24" s="120">
        <f t="shared" si="46"/>
        <v>3028008.4069668464</v>
      </c>
      <c r="W24" s="42">
        <f t="shared" si="61"/>
        <v>-52990.147121919821</v>
      </c>
      <c r="X24" s="42">
        <f t="shared" si="62"/>
        <v>-7570.0210174171161</v>
      </c>
      <c r="Y24" s="42">
        <f t="shared" si="63"/>
        <v>-60560.168139336936</v>
      </c>
      <c r="Z24" s="41">
        <f t="shared" si="64"/>
        <v>2967448.2388275093</v>
      </c>
      <c r="AA24" s="42">
        <f>'[5]Adjusted Amounts'!I175</f>
        <v>-1517.3749542244705</v>
      </c>
      <c r="AB24" s="42">
        <v>0</v>
      </c>
      <c r="AC24" s="120">
        <f t="shared" si="47"/>
        <v>2965931</v>
      </c>
      <c r="AD24" s="120">
        <f>+'[6]Table 5B1_RSD_Orleans'!P24+'[7]Table 5B1_RSD_Orleans'!W24+('[8]Table 5B1_RSD_Orleans'!W24*3)+'[9]Table 5B1_RSD_Orleans'!W24+'[10]Table 5B1_RSD_Orleans'!W24+'[11]Table 5B1_RSD_Orleans'!W24</f>
        <v>1929079</v>
      </c>
      <c r="AE24" s="120">
        <f t="shared" si="48"/>
        <v>1036852</v>
      </c>
      <c r="AF24" s="120">
        <f t="shared" si="49"/>
        <v>259213</v>
      </c>
      <c r="AG24" s="120">
        <f t="shared" si="69"/>
        <v>3057540</v>
      </c>
      <c r="AH24" s="120">
        <v>0</v>
      </c>
      <c r="AI24" s="135">
        <f t="shared" si="50"/>
        <v>36</v>
      </c>
      <c r="AJ24" s="120">
        <f t="shared" si="51"/>
        <v>168048</v>
      </c>
      <c r="AK24" s="135">
        <f>+IFERROR(VLOOKUP(A24,'February midyear adj '!$A$85:$E$204,5,FALSE),"na")</f>
        <v>1</v>
      </c>
      <c r="AL24" s="120">
        <f t="shared" si="70"/>
        <v>2334</v>
      </c>
      <c r="AM24" s="120">
        <f t="shared" si="52"/>
        <v>170382</v>
      </c>
      <c r="AN24" s="41">
        <f t="shared" si="53"/>
        <v>3227922</v>
      </c>
      <c r="AO24" s="42">
        <f t="shared" si="65"/>
        <v>-56488.635000000002</v>
      </c>
      <c r="AP24" s="42">
        <f t="shared" si="66"/>
        <v>-8069.8050000000003</v>
      </c>
      <c r="AQ24" s="42">
        <f t="shared" si="67"/>
        <v>-64558.44</v>
      </c>
      <c r="AR24" s="42">
        <f t="shared" si="68"/>
        <v>3163363.56</v>
      </c>
      <c r="AS24" s="42">
        <f>'[12]Adjusted Amounts'!Q175</f>
        <v>2101.5</v>
      </c>
      <c r="AT24" s="42">
        <v>0</v>
      </c>
      <c r="AU24" s="457">
        <f t="shared" si="54"/>
        <v>3165465.06</v>
      </c>
      <c r="AV24" s="120">
        <f>+'[13]Table 5B1_RSD_Orleans'!Y24+'[7]Table 5B1_RSD_Orleans'!AK24+('[8]Table 5B1_RSD_Orleans'!AK24*3)+'[9]Table 5B1_RSD_Orleans'!AK24+'[10]Table 5B1_RSD_Orleans'!AK24+'[11]Table 5B1_RSD_Orleans'!AK24</f>
        <v>2000705.7807575758</v>
      </c>
      <c r="AW24" s="120">
        <f t="shared" si="55"/>
        <v>1164759.2792424243</v>
      </c>
      <c r="AX24" s="457">
        <f t="shared" si="56"/>
        <v>291189.81981060607</v>
      </c>
      <c r="AY24" s="42">
        <f t="shared" si="57"/>
        <v>6131396.0600000005</v>
      </c>
      <c r="AZ24" s="42">
        <f t="shared" si="58"/>
        <v>550402.81981060607</v>
      </c>
      <c r="BA24" s="42">
        <f t="shared" si="59"/>
        <v>114411</v>
      </c>
      <c r="BB24" s="42">
        <f t="shared" si="60"/>
        <v>176778.81981060607</v>
      </c>
      <c r="BC24" s="146">
        <f t="shared" si="34"/>
        <v>0</v>
      </c>
    </row>
    <row r="25" spans="1:55" ht="30.75" customHeight="1">
      <c r="A25" s="51">
        <v>369003</v>
      </c>
      <c r="B25" s="52" t="s">
        <v>84</v>
      </c>
      <c r="C25" s="24">
        <f>'[14]RSD-NO by Site'!D19</f>
        <v>639</v>
      </c>
      <c r="D25" s="25">
        <f t="shared" si="35"/>
        <v>1501517.2667403086</v>
      </c>
      <c r="E25" s="25">
        <v>746.0335616438357</v>
      </c>
      <c r="F25" s="25">
        <f t="shared" si="36"/>
        <v>476715.44589041104</v>
      </c>
      <c r="G25" s="121">
        <f t="shared" si="37"/>
        <v>1978232.7126307196</v>
      </c>
      <c r="H25" s="134">
        <f>IFERROR(VLOOKUP(A25,'[4]RSD Opr + Type 5s'!$A$6:$E$77,5,FALSE),"na")</f>
        <v>28</v>
      </c>
      <c r="I25" s="121">
        <f t="shared" si="38"/>
        <v>41795.396792006315</v>
      </c>
      <c r="J25" s="134">
        <f>+IFERROR(VLOOKUP(A25,'[4]RSD Opr + Type 5s'!$A$6:$L$77,12,FALSE),"na")</f>
        <v>55</v>
      </c>
      <c r="K25" s="121">
        <f t="shared" si="39"/>
        <v>492588.60504864581</v>
      </c>
      <c r="L25" s="134">
        <f>+IFERROR(VLOOKUP(A25,'[4]RSD Opr + Type 5s'!$A$6:$V$77,22,FALSE),"na")</f>
        <v>5</v>
      </c>
      <c r="M25" s="121">
        <f t="shared" si="40"/>
        <v>82098.100841440973</v>
      </c>
      <c r="N25" s="121">
        <f t="shared" si="41"/>
        <v>616482.10268209304</v>
      </c>
      <c r="O25" s="121">
        <f t="shared" si="42"/>
        <v>2594714.8153128126</v>
      </c>
      <c r="P25" s="121">
        <f>+IFERROR(VLOOKUP(A25,'October midyear adj'!$A$128:$K$203,11,FALSE),"na")</f>
        <v>277323.99470197572</v>
      </c>
      <c r="Q25" s="134">
        <f>+IFERROR(VLOOKUP(A25,'October midyear adj'!A103:E221,5,FALSE),"Na")</f>
        <v>65</v>
      </c>
      <c r="R25" s="121">
        <f t="shared" si="43"/>
        <v>-76095.315013404819</v>
      </c>
      <c r="S25" s="121">
        <f t="shared" si="44"/>
        <v>201228.6796885709</v>
      </c>
      <c r="T25" s="121">
        <f>IFERROR(VLOOKUP(A25,'February midyear adj '!$A$128:$K$203,11,FALSE),"na")</f>
        <v>8533.0459908300218</v>
      </c>
      <c r="U25" s="121">
        <f t="shared" si="45"/>
        <v>209761.72567940093</v>
      </c>
      <c r="V25" s="121">
        <f t="shared" si="46"/>
        <v>2804476.5409922134</v>
      </c>
      <c r="W25" s="27">
        <f t="shared" si="61"/>
        <v>-49078.339467363738</v>
      </c>
      <c r="X25" s="27">
        <f t="shared" si="62"/>
        <v>-7011.1913524805341</v>
      </c>
      <c r="Y25" s="27">
        <f t="shared" si="63"/>
        <v>-56089.530819844273</v>
      </c>
      <c r="Z25" s="26">
        <f t="shared" si="64"/>
        <v>2748387.010172369</v>
      </c>
      <c r="AA25" s="27">
        <f>'[5]Adjusted Amounts'!I176</f>
        <v>0</v>
      </c>
      <c r="AB25" s="27">
        <v>0</v>
      </c>
      <c r="AC25" s="121">
        <f t="shared" si="47"/>
        <v>2748387</v>
      </c>
      <c r="AD25" s="445">
        <f>+'[6]Table 5B1_RSD_Orleans'!P25+'[7]Table 5B1_RSD_Orleans'!W25+('[8]Table 5B1_RSD_Orleans'!W25*3)+'[9]Table 5B1_RSD_Orleans'!W25+'[10]Table 5B1_RSD_Orleans'!W25+'[11]Table 5B1_RSD_Orleans'!W25</f>
        <v>1747621</v>
      </c>
      <c r="AE25" s="445">
        <f t="shared" si="48"/>
        <v>1000766</v>
      </c>
      <c r="AF25" s="445">
        <f t="shared" si="49"/>
        <v>250191.5</v>
      </c>
      <c r="AG25" s="121">
        <f t="shared" si="69"/>
        <v>2982852</v>
      </c>
      <c r="AH25" s="121">
        <v>0</v>
      </c>
      <c r="AI25" s="134">
        <f t="shared" si="50"/>
        <v>65</v>
      </c>
      <c r="AJ25" s="121">
        <f t="shared" si="51"/>
        <v>303420</v>
      </c>
      <c r="AK25" s="134">
        <f>+IFERROR(VLOOKUP(A25,'February midyear adj '!$A$85:$E$204,5,FALSE),"na")</f>
        <v>4</v>
      </c>
      <c r="AL25" s="121">
        <f t="shared" si="70"/>
        <v>9336</v>
      </c>
      <c r="AM25" s="121">
        <f t="shared" si="52"/>
        <v>312756</v>
      </c>
      <c r="AN25" s="26">
        <f t="shared" si="53"/>
        <v>3295608</v>
      </c>
      <c r="AO25" s="27">
        <f t="shared" si="65"/>
        <v>-57673.140000000007</v>
      </c>
      <c r="AP25" s="27">
        <f t="shared" si="66"/>
        <v>-8239.02</v>
      </c>
      <c r="AQ25" s="27">
        <f t="shared" si="67"/>
        <v>-65912.160000000003</v>
      </c>
      <c r="AR25" s="27">
        <f t="shared" si="68"/>
        <v>3229695.84</v>
      </c>
      <c r="AS25" s="27">
        <f>'[12]Adjusted Amounts'!Q176</f>
        <v>0</v>
      </c>
      <c r="AT25" s="27">
        <v>0</v>
      </c>
      <c r="AU25" s="455">
        <f t="shared" si="54"/>
        <v>3229695.84</v>
      </c>
      <c r="AV25" s="445">
        <f>+'[13]Table 5B1_RSD_Orleans'!Y25+'[7]Table 5B1_RSD_Orleans'!AK25+('[8]Table 5B1_RSD_Orleans'!AK25*3)+'[9]Table 5B1_RSD_Orleans'!AK25+'[10]Table 5B1_RSD_Orleans'!AK25+'[11]Table 5B1_RSD_Orleans'!AK25</f>
        <v>1950466.9730909094</v>
      </c>
      <c r="AW25" s="445">
        <f t="shared" si="55"/>
        <v>1279228.8669090904</v>
      </c>
      <c r="AX25" s="461">
        <f t="shared" si="56"/>
        <v>319807.21672727261</v>
      </c>
      <c r="AY25" s="27">
        <f t="shared" si="57"/>
        <v>5978082.8399999999</v>
      </c>
      <c r="AZ25" s="27">
        <f t="shared" si="58"/>
        <v>569998.71672727261</v>
      </c>
      <c r="BA25" s="27">
        <f t="shared" si="59"/>
        <v>125655</v>
      </c>
      <c r="BB25" s="27">
        <f t="shared" si="60"/>
        <v>194152.21672727261</v>
      </c>
      <c r="BC25" s="146">
        <f t="shared" si="34"/>
        <v>0</v>
      </c>
    </row>
    <row r="26" spans="1:55" ht="30.75" customHeight="1">
      <c r="A26" s="35">
        <v>369004</v>
      </c>
      <c r="B26" s="36" t="s">
        <v>21</v>
      </c>
      <c r="C26" s="31">
        <f>'[14]RSD-NO by Site'!D20</f>
        <v>188</v>
      </c>
      <c r="D26" s="32">
        <f t="shared" si="35"/>
        <v>441760.94858713308</v>
      </c>
      <c r="E26" s="32">
        <v>746.0335616438357</v>
      </c>
      <c r="F26" s="32">
        <f t="shared" si="36"/>
        <v>140254.30958904111</v>
      </c>
      <c r="G26" s="111">
        <f t="shared" si="37"/>
        <v>582015.25817617425</v>
      </c>
      <c r="H26" s="115">
        <f>IFERROR(VLOOKUP(A26,'[4]RSD Opr + Type 5s'!$A$6:$E$77,5,FALSE),"na")</f>
        <v>1</v>
      </c>
      <c r="I26" s="111">
        <f t="shared" si="38"/>
        <v>1492.692742571654</v>
      </c>
      <c r="J26" s="115">
        <f>+IFERROR(VLOOKUP(A26,'[4]RSD Opr + Type 5s'!$A$6:$L$77,12,FALSE),"na")</f>
        <v>14</v>
      </c>
      <c r="K26" s="111">
        <f t="shared" si="39"/>
        <v>125386.19037601893</v>
      </c>
      <c r="L26" s="115">
        <f>+IFERROR(VLOOKUP(A26,'[4]RSD Opr + Type 5s'!$A$6:$V$77,22,FALSE),"na")</f>
        <v>10</v>
      </c>
      <c r="M26" s="111">
        <f t="shared" si="40"/>
        <v>164196.20168288195</v>
      </c>
      <c r="N26" s="111">
        <f t="shared" si="41"/>
        <v>291075.08480147255</v>
      </c>
      <c r="O26" s="111">
        <f t="shared" si="42"/>
        <v>873090.34297764674</v>
      </c>
      <c r="P26" s="111">
        <f>+IFERROR(VLOOKUP(A26,'October midyear adj'!$A$128:$K$203,11,FALSE),"na")</f>
        <v>-72530.890922055187</v>
      </c>
      <c r="Q26" s="115">
        <f>+IFERROR(VLOOKUP(A26,'October midyear adj'!A104:E222,5,FALSE),"Na")</f>
        <v>-17</v>
      </c>
      <c r="R26" s="111">
        <f t="shared" si="43"/>
        <v>19901.85161889049</v>
      </c>
      <c r="S26" s="111">
        <f t="shared" si="44"/>
        <v>-52629.039303164696</v>
      </c>
      <c r="T26" s="111">
        <f>IFERROR(VLOOKUP(A26,'February midyear adj '!$A$128:$K$203,11,FALSE),"na")</f>
        <v>6399.7844931225163</v>
      </c>
      <c r="U26" s="111">
        <f t="shared" si="45"/>
        <v>-46229.254810042177</v>
      </c>
      <c r="V26" s="111">
        <f t="shared" si="46"/>
        <v>826861.08816760452</v>
      </c>
      <c r="W26" s="34">
        <f t="shared" si="61"/>
        <v>-14470.069042933081</v>
      </c>
      <c r="X26" s="34">
        <f t="shared" si="62"/>
        <v>-2067.1527204190115</v>
      </c>
      <c r="Y26" s="34">
        <f t="shared" si="63"/>
        <v>-16537.221763352092</v>
      </c>
      <c r="Z26" s="33">
        <f t="shared" si="64"/>
        <v>810323.86640425248</v>
      </c>
      <c r="AA26" s="34">
        <f>'[5]Adjusted Amounts'!I177</f>
        <v>210.84242529510993</v>
      </c>
      <c r="AB26" s="34">
        <v>0</v>
      </c>
      <c r="AC26" s="111">
        <f t="shared" si="47"/>
        <v>810535</v>
      </c>
      <c r="AD26" s="111">
        <f>+'[6]Table 5B1_RSD_Orleans'!P26+'[7]Table 5B1_RSD_Orleans'!W26+('[8]Table 5B1_RSD_Orleans'!W26*3)+'[9]Table 5B1_RSD_Orleans'!W26+'[10]Table 5B1_RSD_Orleans'!W26+'[11]Table 5B1_RSD_Orleans'!W26</f>
        <v>497764</v>
      </c>
      <c r="AE26" s="111">
        <f t="shared" si="48"/>
        <v>312771</v>
      </c>
      <c r="AF26" s="111">
        <f t="shared" si="49"/>
        <v>78192.75</v>
      </c>
      <c r="AG26" s="111">
        <f t="shared" si="69"/>
        <v>877584</v>
      </c>
      <c r="AH26" s="111">
        <v>0</v>
      </c>
      <c r="AI26" s="115">
        <f t="shared" si="50"/>
        <v>-17</v>
      </c>
      <c r="AJ26" s="111">
        <f t="shared" si="51"/>
        <v>-79356</v>
      </c>
      <c r="AK26" s="115">
        <f>+IFERROR(VLOOKUP(A26,'February midyear adj '!$A$85:$E$204,5,FALSE),"na")</f>
        <v>3</v>
      </c>
      <c r="AL26" s="111">
        <f t="shared" si="70"/>
        <v>7002</v>
      </c>
      <c r="AM26" s="111">
        <f t="shared" si="52"/>
        <v>-72354</v>
      </c>
      <c r="AN26" s="33">
        <f t="shared" si="53"/>
        <v>805230</v>
      </c>
      <c r="AO26" s="34">
        <f t="shared" si="65"/>
        <v>-14091.525000000001</v>
      </c>
      <c r="AP26" s="34">
        <f t="shared" si="66"/>
        <v>-2013.075</v>
      </c>
      <c r="AQ26" s="34">
        <f t="shared" si="67"/>
        <v>-16104.600000000002</v>
      </c>
      <c r="AR26" s="34">
        <f t="shared" si="68"/>
        <v>789125.4</v>
      </c>
      <c r="AS26" s="34">
        <f>'[12]Adjusted Amounts'!Q177</f>
        <v>2115.5</v>
      </c>
      <c r="AT26" s="34">
        <v>0</v>
      </c>
      <c r="AU26" s="456">
        <f t="shared" si="54"/>
        <v>791240.9</v>
      </c>
      <c r="AV26" s="111">
        <f>+'[13]Table 5B1_RSD_Orleans'!Y26+'[7]Table 5B1_RSD_Orleans'!AK26+('[8]Table 5B1_RSD_Orleans'!AK26*3)+'[9]Table 5B1_RSD_Orleans'!AK26+'[10]Table 5B1_RSD_Orleans'!AK26+'[11]Table 5B1_RSD_Orleans'!AK26</f>
        <v>575256.60390909086</v>
      </c>
      <c r="AW26" s="111">
        <f t="shared" si="55"/>
        <v>215984.29609090916</v>
      </c>
      <c r="AX26" s="456">
        <f t="shared" si="56"/>
        <v>53996.074022727291</v>
      </c>
      <c r="AY26" s="34">
        <f t="shared" si="57"/>
        <v>1601775.9</v>
      </c>
      <c r="AZ26" s="34">
        <f t="shared" si="58"/>
        <v>132188.82402272729</v>
      </c>
      <c r="BA26" s="34">
        <f t="shared" si="59"/>
        <v>21215</v>
      </c>
      <c r="BB26" s="34">
        <f t="shared" si="60"/>
        <v>32781.074022727291</v>
      </c>
      <c r="BC26" s="146">
        <f t="shared" si="34"/>
        <v>0</v>
      </c>
    </row>
    <row r="27" spans="1:55" ht="30.75" customHeight="1">
      <c r="A27" s="35">
        <v>369005</v>
      </c>
      <c r="B27" s="36" t="s">
        <v>22</v>
      </c>
      <c r="C27" s="31">
        <f>'[14]RSD-NO by Site'!D21</f>
        <v>180</v>
      </c>
      <c r="D27" s="32">
        <f t="shared" si="35"/>
        <v>422962.61034938274</v>
      </c>
      <c r="E27" s="32">
        <v>746.0335616438357</v>
      </c>
      <c r="F27" s="32">
        <f t="shared" si="36"/>
        <v>134286.04109589042</v>
      </c>
      <c r="G27" s="111">
        <f t="shared" si="37"/>
        <v>557248.65144527319</v>
      </c>
      <c r="H27" s="115">
        <f>IFERROR(VLOOKUP(A27,'[4]RSD Opr + Type 5s'!$A$6:$E$77,5,FALSE),"na")</f>
        <v>3</v>
      </c>
      <c r="I27" s="111">
        <f t="shared" si="38"/>
        <v>4478.0782277149619</v>
      </c>
      <c r="J27" s="115">
        <f>+IFERROR(VLOOKUP(A27,'[4]RSD Opr + Type 5s'!$A$6:$L$77,12,FALSE),"na")</f>
        <v>21</v>
      </c>
      <c r="K27" s="111">
        <f t="shared" si="39"/>
        <v>188079.2855640284</v>
      </c>
      <c r="L27" s="115">
        <f>+IFERROR(VLOOKUP(A27,'[4]RSD Opr + Type 5s'!$A$6:$V$77,22,FALSE),"na")</f>
        <v>3</v>
      </c>
      <c r="M27" s="111">
        <f t="shared" si="40"/>
        <v>49258.860504864584</v>
      </c>
      <c r="N27" s="111">
        <f t="shared" si="41"/>
        <v>241816.22429660795</v>
      </c>
      <c r="O27" s="111">
        <f t="shared" si="42"/>
        <v>799064.87574188109</v>
      </c>
      <c r="P27" s="111">
        <f>+IFERROR(VLOOKUP(A27,'October midyear adj'!$A$128:$K$203,11,FALSE),"na")</f>
        <v>-89596.982903715223</v>
      </c>
      <c r="Q27" s="115">
        <f>+IFERROR(VLOOKUP(A27,'October midyear adj'!A105:E223,5,FALSE),"Na")</f>
        <v>-21</v>
      </c>
      <c r="R27" s="111">
        <f t="shared" si="43"/>
        <v>24584.640235100018</v>
      </c>
      <c r="S27" s="111">
        <f t="shared" si="44"/>
        <v>-65012.342668615209</v>
      </c>
      <c r="T27" s="111">
        <f>IFERROR(VLOOKUP(A27,'February midyear adj '!$A$128:$K$203,11,FALSE),"na")</f>
        <v>38398.7069587351</v>
      </c>
      <c r="U27" s="111">
        <f t="shared" si="45"/>
        <v>-26613.635709880109</v>
      </c>
      <c r="V27" s="111">
        <f t="shared" si="46"/>
        <v>772451.24003200093</v>
      </c>
      <c r="W27" s="34">
        <f t="shared" si="61"/>
        <v>-13517.896700560017</v>
      </c>
      <c r="X27" s="34">
        <f t="shared" si="62"/>
        <v>-1931.1281000800025</v>
      </c>
      <c r="Y27" s="34">
        <f t="shared" si="63"/>
        <v>-15449.02480064002</v>
      </c>
      <c r="Z27" s="33">
        <f t="shared" si="64"/>
        <v>757002.21523136087</v>
      </c>
      <c r="AA27" s="34">
        <f>'[5]Adjusted Amounts'!I178</f>
        <v>-4198.5679285379201</v>
      </c>
      <c r="AB27" s="34">
        <v>0</v>
      </c>
      <c r="AC27" s="111">
        <f t="shared" si="47"/>
        <v>752804</v>
      </c>
      <c r="AD27" s="111">
        <f>+'[6]Table 5B1_RSD_Orleans'!P27+'[7]Table 5B1_RSD_Orleans'!W27+('[8]Table 5B1_RSD_Orleans'!W27*3)+'[9]Table 5B1_RSD_Orleans'!W27+'[10]Table 5B1_RSD_Orleans'!W27+'[11]Table 5B1_RSD_Orleans'!W27</f>
        <v>495216</v>
      </c>
      <c r="AE27" s="111">
        <f t="shared" si="48"/>
        <v>257588</v>
      </c>
      <c r="AF27" s="111">
        <f t="shared" si="49"/>
        <v>64397</v>
      </c>
      <c r="AG27" s="111">
        <f t="shared" si="69"/>
        <v>840240</v>
      </c>
      <c r="AH27" s="111">
        <v>0</v>
      </c>
      <c r="AI27" s="115">
        <f t="shared" si="50"/>
        <v>-21</v>
      </c>
      <c r="AJ27" s="111">
        <f t="shared" si="51"/>
        <v>-98028</v>
      </c>
      <c r="AK27" s="115">
        <f>+IFERROR(VLOOKUP(A27,'February midyear adj '!$A$85:$E$204,5,FALSE),"na")</f>
        <v>18</v>
      </c>
      <c r="AL27" s="111">
        <f t="shared" si="70"/>
        <v>42012</v>
      </c>
      <c r="AM27" s="111">
        <f t="shared" si="52"/>
        <v>-56016</v>
      </c>
      <c r="AN27" s="33">
        <f t="shared" si="53"/>
        <v>784224</v>
      </c>
      <c r="AO27" s="34">
        <f t="shared" si="65"/>
        <v>-13723.920000000002</v>
      </c>
      <c r="AP27" s="34">
        <f t="shared" si="66"/>
        <v>-1960.56</v>
      </c>
      <c r="AQ27" s="34">
        <f t="shared" si="67"/>
        <v>-15684.480000000001</v>
      </c>
      <c r="AR27" s="34">
        <f t="shared" si="68"/>
        <v>768539.52</v>
      </c>
      <c r="AS27" s="34">
        <f>'[12]Adjusted Amounts'!Q178</f>
        <v>-6304.5</v>
      </c>
      <c r="AT27" s="34">
        <v>0</v>
      </c>
      <c r="AU27" s="456">
        <f t="shared" si="54"/>
        <v>762235.02</v>
      </c>
      <c r="AV27" s="111">
        <f>+'[13]Table 5B1_RSD_Orleans'!Y27+'[7]Table 5B1_RSD_Orleans'!AK27+('[8]Table 5B1_RSD_Orleans'!AK27*3)+'[9]Table 5B1_RSD_Orleans'!AK27+'[10]Table 5B1_RSD_Orleans'!AK27+'[11]Table 5B1_RSD_Orleans'!AK27</f>
        <v>545224.23227272741</v>
      </c>
      <c r="AW27" s="111">
        <f t="shared" si="55"/>
        <v>217010.7877272726</v>
      </c>
      <c r="AX27" s="456">
        <f t="shared" si="56"/>
        <v>54252.696931818151</v>
      </c>
      <c r="AY27" s="34">
        <f t="shared" si="57"/>
        <v>1515039.02</v>
      </c>
      <c r="AZ27" s="34">
        <f t="shared" si="58"/>
        <v>118649.69693181815</v>
      </c>
      <c r="BA27" s="34">
        <f t="shared" si="59"/>
        <v>21316</v>
      </c>
      <c r="BB27" s="34">
        <f t="shared" si="60"/>
        <v>32936.696931818151</v>
      </c>
      <c r="BC27" s="146">
        <f t="shared" si="34"/>
        <v>0</v>
      </c>
    </row>
    <row r="28" spans="1:55" ht="30.75" customHeight="1">
      <c r="A28" s="45">
        <v>369006</v>
      </c>
      <c r="B28" s="46" t="s">
        <v>75</v>
      </c>
      <c r="C28" s="47">
        <v>818</v>
      </c>
      <c r="D28" s="32">
        <f t="shared" si="35"/>
        <v>1922130.0848099727</v>
      </c>
      <c r="E28" s="32">
        <v>746.0335616438357</v>
      </c>
      <c r="F28" s="32">
        <f t="shared" si="36"/>
        <v>610255.45342465758</v>
      </c>
      <c r="G28" s="111">
        <f t="shared" si="37"/>
        <v>2532385.5382346301</v>
      </c>
      <c r="H28" s="115">
        <f>IFERROR(VLOOKUP(A28,'[4]RSD Opr + Type 5s'!$A$6:$E$77,5,FALSE),"na")</f>
        <v>30</v>
      </c>
      <c r="I28" s="111">
        <f t="shared" si="38"/>
        <v>44780.782277149621</v>
      </c>
      <c r="J28" s="115">
        <f>+IFERROR(VLOOKUP(A28,'[4]RSD Opr + Type 5s'!$A$6:$L$77,12,FALSE),"na")</f>
        <v>71</v>
      </c>
      <c r="K28" s="111">
        <f t="shared" si="39"/>
        <v>635887.10833552456</v>
      </c>
      <c r="L28" s="115">
        <f>+IFERROR(VLOOKUP(A28,'[4]RSD Opr + Type 5s'!$A$6:$V$77,22,FALSE),"na")</f>
        <v>23</v>
      </c>
      <c r="M28" s="111">
        <f t="shared" si="40"/>
        <v>377651.26387062849</v>
      </c>
      <c r="N28" s="111">
        <f t="shared" si="41"/>
        <v>1058319.1544833027</v>
      </c>
      <c r="O28" s="111">
        <f t="shared" si="42"/>
        <v>3590704.6927179331</v>
      </c>
      <c r="P28" s="111">
        <f>+IFERROR(VLOOKUP(A28,'October midyear adj'!$A$128:$K$203,11,FALSE),"na")</f>
        <v>-170660.91981660045</v>
      </c>
      <c r="Q28" s="115">
        <f>+IFERROR(VLOOKUP(A28,'October midyear adj'!A106:E224,5,FALSE),"Na")</f>
        <v>-40</v>
      </c>
      <c r="R28" s="111">
        <f t="shared" si="43"/>
        <v>46827.886162095274</v>
      </c>
      <c r="S28" s="111">
        <f t="shared" si="44"/>
        <v>-123833.03365450518</v>
      </c>
      <c r="T28" s="111">
        <f>IFERROR(VLOOKUP(A28,'February midyear adj '!$A$128:$K$203,11,FALSE),"na")</f>
        <v>-2133.2614977075054</v>
      </c>
      <c r="U28" s="111">
        <f t="shared" si="45"/>
        <v>-125966.29515221268</v>
      </c>
      <c r="V28" s="111">
        <f t="shared" si="46"/>
        <v>3464738.3975657206</v>
      </c>
      <c r="W28" s="34">
        <f t="shared" si="61"/>
        <v>-60632.921957400118</v>
      </c>
      <c r="X28" s="34">
        <f t="shared" si="62"/>
        <v>-8661.8459939143013</v>
      </c>
      <c r="Y28" s="34">
        <f t="shared" si="63"/>
        <v>-69294.767951314425</v>
      </c>
      <c r="Z28" s="33">
        <f t="shared" si="64"/>
        <v>3395443.6296144063</v>
      </c>
      <c r="AA28" s="34">
        <v>0</v>
      </c>
      <c r="AB28" s="34">
        <v>0</v>
      </c>
      <c r="AC28" s="111">
        <f t="shared" si="47"/>
        <v>3395444</v>
      </c>
      <c r="AD28" s="111">
        <f>+'[6]Table 5B1_RSD_Orleans'!P28+'[7]Table 5B1_RSD_Orleans'!W28+('[8]Table 5B1_RSD_Orleans'!W28*3)+'[9]Table 5B1_RSD_Orleans'!W28+'[10]Table 5B1_RSD_Orleans'!W28+'[11]Table 5B1_RSD_Orleans'!W28</f>
        <v>2219736</v>
      </c>
      <c r="AE28" s="111">
        <f t="shared" si="48"/>
        <v>1175708</v>
      </c>
      <c r="AF28" s="111">
        <f t="shared" si="49"/>
        <v>293927</v>
      </c>
      <c r="AG28" s="111">
        <f t="shared" si="69"/>
        <v>3818424</v>
      </c>
      <c r="AH28" s="111">
        <v>0</v>
      </c>
      <c r="AI28" s="115">
        <f t="shared" si="50"/>
        <v>-40</v>
      </c>
      <c r="AJ28" s="111">
        <f t="shared" si="51"/>
        <v>-186720</v>
      </c>
      <c r="AK28" s="115">
        <f>+IFERROR(VLOOKUP(A28,'February midyear adj '!$A$85:$E$204,5,FALSE),"na")</f>
        <v>-1</v>
      </c>
      <c r="AL28" s="111">
        <f t="shared" si="70"/>
        <v>-2334</v>
      </c>
      <c r="AM28" s="111">
        <f t="shared" si="52"/>
        <v>-189054</v>
      </c>
      <c r="AN28" s="33">
        <f t="shared" si="53"/>
        <v>3629370</v>
      </c>
      <c r="AO28" s="34">
        <f t="shared" si="65"/>
        <v>-63513.975000000006</v>
      </c>
      <c r="AP28" s="34">
        <f t="shared" si="66"/>
        <v>-9073.4250000000011</v>
      </c>
      <c r="AQ28" s="34">
        <f t="shared" si="67"/>
        <v>-72587.400000000009</v>
      </c>
      <c r="AR28" s="34">
        <f t="shared" si="68"/>
        <v>3556782.6</v>
      </c>
      <c r="AS28" s="34">
        <v>0</v>
      </c>
      <c r="AT28" s="34">
        <v>0</v>
      </c>
      <c r="AU28" s="456">
        <f t="shared" si="54"/>
        <v>3556782.6</v>
      </c>
      <c r="AV28" s="111">
        <f>+'[13]Table 5B1_RSD_Orleans'!Y28+'[7]Table 5B1_RSD_Orleans'!AK28+('[8]Table 5B1_RSD_Orleans'!AK28*3)+'[9]Table 5B1_RSD_Orleans'!AK28+'[10]Table 5B1_RSD_Orleans'!AK28+'[11]Table 5B1_RSD_Orleans'!AK28</f>
        <v>2496841.6104242424</v>
      </c>
      <c r="AW28" s="111">
        <f t="shared" si="55"/>
        <v>1059940.9895757576</v>
      </c>
      <c r="AX28" s="456">
        <f t="shared" si="56"/>
        <v>264985.24739393941</v>
      </c>
      <c r="AY28" s="34">
        <f t="shared" si="57"/>
        <v>6952226.5999999996</v>
      </c>
      <c r="AZ28" s="34">
        <f t="shared" si="58"/>
        <v>558912.24739393941</v>
      </c>
      <c r="BA28" s="34">
        <f t="shared" si="59"/>
        <v>104115</v>
      </c>
      <c r="BB28" s="34">
        <f t="shared" si="60"/>
        <v>160870.24739393941</v>
      </c>
      <c r="BC28" s="146">
        <f t="shared" si="34"/>
        <v>0</v>
      </c>
    </row>
    <row r="29" spans="1:55" ht="30.75" customHeight="1">
      <c r="A29" s="48">
        <v>373001</v>
      </c>
      <c r="B29" s="49" t="s">
        <v>23</v>
      </c>
      <c r="C29" s="50">
        <f>'[14]RSD-NO by Site'!$D$23</f>
        <v>399</v>
      </c>
      <c r="D29" s="40">
        <f t="shared" si="35"/>
        <v>937567.11960779841</v>
      </c>
      <c r="E29" s="40">
        <v>746.0335616438357</v>
      </c>
      <c r="F29" s="40">
        <f t="shared" si="36"/>
        <v>297667.39109589043</v>
      </c>
      <c r="G29" s="120">
        <f t="shared" si="37"/>
        <v>1235234.510703689</v>
      </c>
      <c r="H29" s="135">
        <f>IFERROR(VLOOKUP(A29,'[4]RSD Opr + Type 5s'!$A$6:$E$77,5,FALSE),"na")</f>
        <v>15</v>
      </c>
      <c r="I29" s="120">
        <f t="shared" si="38"/>
        <v>22390.391138574811</v>
      </c>
      <c r="J29" s="135">
        <f>+IFERROR(VLOOKUP(A29,'[4]RSD Opr + Type 5s'!$A$6:$L$77,12,FALSE),"na")</f>
        <v>50</v>
      </c>
      <c r="K29" s="120">
        <f t="shared" si="39"/>
        <v>447807.8227714962</v>
      </c>
      <c r="L29" s="135">
        <f>+IFERROR(VLOOKUP(A29,'[4]RSD Opr + Type 5s'!$A$6:$V$77,22,FALSE),"na")</f>
        <v>4</v>
      </c>
      <c r="M29" s="120">
        <f t="shared" si="40"/>
        <v>65678.480673152779</v>
      </c>
      <c r="N29" s="120">
        <f t="shared" si="41"/>
        <v>535876.69458322378</v>
      </c>
      <c r="O29" s="120">
        <f t="shared" si="42"/>
        <v>1771111.2052869126</v>
      </c>
      <c r="P29" s="120">
        <f>+IFERROR(VLOOKUP(A29,'October midyear adj'!$A$128:$K$203,11,FALSE),"na")</f>
        <v>200526.58078450552</v>
      </c>
      <c r="Q29" s="135">
        <f>+IFERROR(VLOOKUP(A29,'October midyear adj'!A107:E225,5,FALSE),"Na")</f>
        <v>47</v>
      </c>
      <c r="R29" s="120">
        <f t="shared" si="43"/>
        <v>-55022.766240461948</v>
      </c>
      <c r="S29" s="120">
        <f t="shared" si="44"/>
        <v>145503.81454404356</v>
      </c>
      <c r="T29" s="120">
        <f>IFERROR(VLOOKUP(A29,'February midyear adj '!$A$128:$K$203,11,FALSE),"na")</f>
        <v>8533.0459908300218</v>
      </c>
      <c r="U29" s="120">
        <f t="shared" si="45"/>
        <v>154036.86053487359</v>
      </c>
      <c r="V29" s="120">
        <f t="shared" si="46"/>
        <v>1925148.0658217862</v>
      </c>
      <c r="W29" s="42">
        <f t="shared" si="61"/>
        <v>-33690.091151881265</v>
      </c>
      <c r="X29" s="42">
        <f t="shared" si="62"/>
        <v>-4812.8701645544652</v>
      </c>
      <c r="Y29" s="42">
        <f t="shared" si="63"/>
        <v>-38502.961316435729</v>
      </c>
      <c r="Z29" s="41">
        <f t="shared" si="64"/>
        <v>1886645.1045053503</v>
      </c>
      <c r="AA29" s="42">
        <f>'[5]Adjusted Amounts'!I180</f>
        <v>0</v>
      </c>
      <c r="AB29" s="42">
        <v>0</v>
      </c>
      <c r="AC29" s="120">
        <f t="shared" si="47"/>
        <v>1886645</v>
      </c>
      <c r="AD29" s="120">
        <f>+'[6]Table 5B1_RSD_Orleans'!P29+'[7]Table 5B1_RSD_Orleans'!W29+('[8]Table 5B1_RSD_Orleans'!W29*3)+'[9]Table 5B1_RSD_Orleans'!W29+'[10]Table 5B1_RSD_Orleans'!W29+'[11]Table 5B1_RSD_Orleans'!W29</f>
        <v>1209585</v>
      </c>
      <c r="AE29" s="120">
        <f t="shared" si="48"/>
        <v>677060</v>
      </c>
      <c r="AF29" s="120">
        <f t="shared" si="49"/>
        <v>169265</v>
      </c>
      <c r="AG29" s="120">
        <f t="shared" si="69"/>
        <v>1862532</v>
      </c>
      <c r="AH29" s="120">
        <v>0</v>
      </c>
      <c r="AI29" s="135">
        <f t="shared" si="50"/>
        <v>47</v>
      </c>
      <c r="AJ29" s="120">
        <f t="shared" si="51"/>
        <v>219396</v>
      </c>
      <c r="AK29" s="135">
        <f>+IFERROR(VLOOKUP(A29,'February midyear adj '!$A$85:$E$204,5,FALSE),"na")</f>
        <v>4</v>
      </c>
      <c r="AL29" s="120">
        <f t="shared" si="70"/>
        <v>9336</v>
      </c>
      <c r="AM29" s="120">
        <f t="shared" si="52"/>
        <v>228732</v>
      </c>
      <c r="AN29" s="41">
        <f t="shared" si="53"/>
        <v>2091264</v>
      </c>
      <c r="AO29" s="42">
        <f t="shared" si="65"/>
        <v>-36597.120000000003</v>
      </c>
      <c r="AP29" s="42">
        <f t="shared" si="66"/>
        <v>-5228.16</v>
      </c>
      <c r="AQ29" s="42">
        <f t="shared" si="67"/>
        <v>-41825.279999999999</v>
      </c>
      <c r="AR29" s="42">
        <f t="shared" si="68"/>
        <v>2049438.72</v>
      </c>
      <c r="AS29" s="42">
        <f>'[12]Adjusted Amounts'!Q180</f>
        <v>0</v>
      </c>
      <c r="AT29" s="42">
        <v>0</v>
      </c>
      <c r="AU29" s="457">
        <f t="shared" si="54"/>
        <v>2049438.72</v>
      </c>
      <c r="AV29" s="120">
        <f>+'[13]Table 5B1_RSD_Orleans'!Y29+'[7]Table 5B1_RSD_Orleans'!AK29+('[8]Table 5B1_RSD_Orleans'!AK29*3)+'[9]Table 5B1_RSD_Orleans'!AK29+'[10]Table 5B1_RSD_Orleans'!AK29+'[11]Table 5B1_RSD_Orleans'!AK29</f>
        <v>1217897.114909091</v>
      </c>
      <c r="AW29" s="120">
        <f t="shared" si="55"/>
        <v>831541.60509090894</v>
      </c>
      <c r="AX29" s="457">
        <f t="shared" si="56"/>
        <v>207885.40127272723</v>
      </c>
      <c r="AY29" s="42">
        <f t="shared" si="57"/>
        <v>3936083.7199999997</v>
      </c>
      <c r="AZ29" s="42">
        <f t="shared" si="58"/>
        <v>377150.40127272723</v>
      </c>
      <c r="BA29" s="42">
        <f t="shared" si="59"/>
        <v>81680</v>
      </c>
      <c r="BB29" s="42">
        <f t="shared" si="60"/>
        <v>126205.40127272723</v>
      </c>
      <c r="BC29" s="146">
        <f t="shared" si="34"/>
        <v>0</v>
      </c>
    </row>
    <row r="30" spans="1:55" ht="30.75" customHeight="1">
      <c r="A30" s="53">
        <v>373002</v>
      </c>
      <c r="B30" s="54" t="s">
        <v>74</v>
      </c>
      <c r="C30" s="55">
        <v>398</v>
      </c>
      <c r="D30" s="25">
        <f t="shared" si="35"/>
        <v>935217.32732807961</v>
      </c>
      <c r="E30" s="25">
        <v>746.0335616438357</v>
      </c>
      <c r="F30" s="25">
        <f t="shared" si="36"/>
        <v>296921.35753424664</v>
      </c>
      <c r="G30" s="121">
        <f t="shared" si="37"/>
        <v>1232138.6848623264</v>
      </c>
      <c r="H30" s="134">
        <f>IFERROR(VLOOKUP(A30,'[4]RSD Opr + Type 5s'!$A$6:$E$77,5,FALSE),"na")</f>
        <v>15</v>
      </c>
      <c r="I30" s="121">
        <f t="shared" si="38"/>
        <v>22390.391138574811</v>
      </c>
      <c r="J30" s="134">
        <f>+IFERROR(VLOOKUP(A30,'[4]RSD Opr + Type 5s'!$A$6:$L$77,12,FALSE),"na")</f>
        <v>23</v>
      </c>
      <c r="K30" s="121">
        <f t="shared" si="39"/>
        <v>205991.59847488825</v>
      </c>
      <c r="L30" s="134">
        <f>+IFERROR(VLOOKUP(A30,'[4]RSD Opr + Type 5s'!$A$6:$V$77,22,FALSE),"na")</f>
        <v>5</v>
      </c>
      <c r="M30" s="121">
        <f t="shared" si="40"/>
        <v>82098.100841440973</v>
      </c>
      <c r="N30" s="121">
        <f t="shared" si="41"/>
        <v>310480.09045490401</v>
      </c>
      <c r="O30" s="121">
        <f t="shared" si="42"/>
        <v>1542618.7753172303</v>
      </c>
      <c r="P30" s="121">
        <f>+IFERROR(VLOOKUP(A30,'October midyear adj'!$A$128:$K$203,11,FALSE),"na")</f>
        <v>-81063.936912885212</v>
      </c>
      <c r="Q30" s="134">
        <f>+IFERROR(VLOOKUP(A30,'October midyear adj'!A108:E226,5,FALSE),"Na")</f>
        <v>-19</v>
      </c>
      <c r="R30" s="121">
        <f t="shared" si="43"/>
        <v>22243.245926995256</v>
      </c>
      <c r="S30" s="121">
        <f t="shared" si="44"/>
        <v>-58820.69098588996</v>
      </c>
      <c r="T30" s="121">
        <f>IFERROR(VLOOKUP(A30,'February midyear adj '!$A$128:$K$203,11,FALSE),"na")</f>
        <v>0</v>
      </c>
      <c r="U30" s="121">
        <f t="shared" si="45"/>
        <v>-58820.69098588996</v>
      </c>
      <c r="V30" s="121">
        <f t="shared" si="46"/>
        <v>1483798.0843313404</v>
      </c>
      <c r="W30" s="27">
        <f t="shared" si="61"/>
        <v>-25966.466475798461</v>
      </c>
      <c r="X30" s="27">
        <f t="shared" si="62"/>
        <v>-3709.495210828351</v>
      </c>
      <c r="Y30" s="27">
        <f t="shared" si="63"/>
        <v>-29675.961686626812</v>
      </c>
      <c r="Z30" s="26">
        <f t="shared" si="64"/>
        <v>1454122.1226447136</v>
      </c>
      <c r="AA30" s="27">
        <v>0</v>
      </c>
      <c r="AB30" s="27">
        <v>0</v>
      </c>
      <c r="AC30" s="121">
        <f t="shared" si="47"/>
        <v>1454122</v>
      </c>
      <c r="AD30" s="445">
        <f>+'[6]Table 5B1_RSD_Orleans'!P30+'[7]Table 5B1_RSD_Orleans'!W30+('[8]Table 5B1_RSD_Orleans'!W30*3)+'[9]Table 5B1_RSD_Orleans'!W30+'[10]Table 5B1_RSD_Orleans'!W30+'[11]Table 5B1_RSD_Orleans'!W30</f>
        <v>1080017</v>
      </c>
      <c r="AE30" s="445">
        <f t="shared" si="48"/>
        <v>374105</v>
      </c>
      <c r="AF30" s="445">
        <f t="shared" si="49"/>
        <v>93526.25</v>
      </c>
      <c r="AG30" s="121">
        <f t="shared" si="69"/>
        <v>1857864</v>
      </c>
      <c r="AH30" s="121">
        <v>0</v>
      </c>
      <c r="AI30" s="134">
        <f t="shared" si="50"/>
        <v>-19</v>
      </c>
      <c r="AJ30" s="121">
        <f t="shared" si="51"/>
        <v>-88692</v>
      </c>
      <c r="AK30" s="134">
        <f>+IFERROR(VLOOKUP(A30,'February midyear adj '!$A$85:$E$204,5,FALSE),"na")</f>
        <v>0</v>
      </c>
      <c r="AL30" s="121">
        <f t="shared" si="70"/>
        <v>0</v>
      </c>
      <c r="AM30" s="121">
        <f t="shared" si="52"/>
        <v>-88692</v>
      </c>
      <c r="AN30" s="26">
        <f t="shared" si="53"/>
        <v>1769172</v>
      </c>
      <c r="AO30" s="27">
        <f t="shared" si="65"/>
        <v>-30960.510000000002</v>
      </c>
      <c r="AP30" s="27">
        <f t="shared" si="66"/>
        <v>-4422.93</v>
      </c>
      <c r="AQ30" s="27">
        <f t="shared" si="67"/>
        <v>-35383.440000000002</v>
      </c>
      <c r="AR30" s="27">
        <f t="shared" si="68"/>
        <v>1733788.56</v>
      </c>
      <c r="AS30" s="27">
        <v>0</v>
      </c>
      <c r="AT30" s="27">
        <v>0</v>
      </c>
      <c r="AU30" s="455">
        <f t="shared" si="54"/>
        <v>1733788.56</v>
      </c>
      <c r="AV30" s="445">
        <f>+'[13]Table 5B1_RSD_Orleans'!Y30+'[7]Table 5B1_RSD_Orleans'!AK30+('[8]Table 5B1_RSD_Orleans'!AK30*3)+'[9]Table 5B1_RSD_Orleans'!AK30+'[10]Table 5B1_RSD_Orleans'!AK30+'[11]Table 5B1_RSD_Orleans'!AK30</f>
        <v>1214844.0358787877</v>
      </c>
      <c r="AW30" s="445">
        <f t="shared" si="55"/>
        <v>518944.52412121231</v>
      </c>
      <c r="AX30" s="461">
        <f t="shared" si="56"/>
        <v>129736.13103030308</v>
      </c>
      <c r="AY30" s="27">
        <f t="shared" si="57"/>
        <v>3187910.56</v>
      </c>
      <c r="AZ30" s="27">
        <f t="shared" si="58"/>
        <v>223262.38103030308</v>
      </c>
      <c r="BA30" s="27">
        <f t="shared" si="59"/>
        <v>50974</v>
      </c>
      <c r="BB30" s="27">
        <f t="shared" si="60"/>
        <v>78762.131030303077</v>
      </c>
      <c r="BC30" s="146">
        <f t="shared" si="34"/>
        <v>0</v>
      </c>
    </row>
    <row r="31" spans="1:55" ht="30.75" customHeight="1">
      <c r="A31" s="35">
        <v>374001</v>
      </c>
      <c r="B31" s="36" t="s">
        <v>73</v>
      </c>
      <c r="C31" s="31">
        <f>'[14]RSD-NO by Site'!D24</f>
        <v>402</v>
      </c>
      <c r="D31" s="32">
        <f t="shared" si="35"/>
        <v>944616.49644695478</v>
      </c>
      <c r="E31" s="32">
        <v>746.0335616438357</v>
      </c>
      <c r="F31" s="32">
        <f t="shared" si="36"/>
        <v>299905.49178082193</v>
      </c>
      <c r="G31" s="111">
        <f t="shared" si="37"/>
        <v>1244521.9882277767</v>
      </c>
      <c r="H31" s="115">
        <f>IFERROR(VLOOKUP(A31,'[4]RSD Opr + Type 5s'!$A$6:$E$77,5,FALSE),"na")</f>
        <v>10</v>
      </c>
      <c r="I31" s="111">
        <f t="shared" si="38"/>
        <v>14926.92742571654</v>
      </c>
      <c r="J31" s="115">
        <f>+IFERROR(VLOOKUP(A31,'[4]RSD Opr + Type 5s'!$A$6:$L$77,12,FALSE),"na")</f>
        <v>49</v>
      </c>
      <c r="K31" s="111">
        <f t="shared" si="39"/>
        <v>438851.66631606629</v>
      </c>
      <c r="L31" s="115">
        <f>+IFERROR(VLOOKUP(A31,'[4]RSD Opr + Type 5s'!$A$6:$V$77,22,FALSE),"na")</f>
        <v>9</v>
      </c>
      <c r="M31" s="111">
        <f t="shared" si="40"/>
        <v>147776.58151459374</v>
      </c>
      <c r="N31" s="111">
        <f t="shared" si="41"/>
        <v>601555.17525637662</v>
      </c>
      <c r="O31" s="111">
        <f t="shared" si="42"/>
        <v>1846077.1634841533</v>
      </c>
      <c r="P31" s="111">
        <f>+IFERROR(VLOOKUP(A31,'October midyear adj'!$A$128:$K$203,11,FALSE),"na")</f>
        <v>234658.7647478256</v>
      </c>
      <c r="Q31" s="115">
        <f>+IFERROR(VLOOKUP(A31,'October midyear adj'!A109:E227,5,FALSE),"Na")</f>
        <v>55</v>
      </c>
      <c r="R31" s="111">
        <f t="shared" si="43"/>
        <v>-64388.343472881003</v>
      </c>
      <c r="S31" s="111">
        <f t="shared" si="44"/>
        <v>170270.42127494459</v>
      </c>
      <c r="T31" s="111">
        <f>IFERROR(VLOOKUP(A31,'February midyear adj '!$A$128:$K$203,11,FALSE),"na")</f>
        <v>21332.614977075056</v>
      </c>
      <c r="U31" s="111">
        <f t="shared" si="45"/>
        <v>191603.03625201964</v>
      </c>
      <c r="V31" s="111">
        <f t="shared" si="46"/>
        <v>2037680.199736173</v>
      </c>
      <c r="W31" s="34">
        <f t="shared" si="61"/>
        <v>-35659.403495383034</v>
      </c>
      <c r="X31" s="34">
        <f t="shared" si="62"/>
        <v>-5094.2004993404325</v>
      </c>
      <c r="Y31" s="34">
        <f t="shared" si="63"/>
        <v>-40753.603994723468</v>
      </c>
      <c r="Z31" s="33">
        <f t="shared" si="64"/>
        <v>1996926.5957414496</v>
      </c>
      <c r="AA31" s="34">
        <f>'[5]Adjusted Amounts'!I180</f>
        <v>0</v>
      </c>
      <c r="AB31" s="34">
        <v>0</v>
      </c>
      <c r="AC31" s="111">
        <f t="shared" si="47"/>
        <v>1996927</v>
      </c>
      <c r="AD31" s="111">
        <f>+'[6]Table 5B1_RSD_Orleans'!P31+'[7]Table 5B1_RSD_Orleans'!W31+('[8]Table 5B1_RSD_Orleans'!W31*3)+'[9]Table 5B1_RSD_Orleans'!W31+'[10]Table 5B1_RSD_Orleans'!W31+'[11]Table 5B1_RSD_Orleans'!W31</f>
        <v>1112804</v>
      </c>
      <c r="AE31" s="111">
        <f t="shared" si="48"/>
        <v>884123</v>
      </c>
      <c r="AF31" s="111">
        <f t="shared" si="49"/>
        <v>221030.75</v>
      </c>
      <c r="AG31" s="111">
        <f t="shared" si="69"/>
        <v>1876536</v>
      </c>
      <c r="AH31" s="111">
        <v>0</v>
      </c>
      <c r="AI31" s="115">
        <f t="shared" si="50"/>
        <v>55</v>
      </c>
      <c r="AJ31" s="111">
        <f t="shared" si="51"/>
        <v>256740</v>
      </c>
      <c r="AK31" s="115">
        <f>+IFERROR(VLOOKUP(A31,'February midyear adj '!$A$85:$E$204,5,FALSE),"na")</f>
        <v>10</v>
      </c>
      <c r="AL31" s="111">
        <f t="shared" si="70"/>
        <v>23340</v>
      </c>
      <c r="AM31" s="111">
        <f t="shared" si="52"/>
        <v>280080</v>
      </c>
      <c r="AN31" s="33">
        <f t="shared" si="53"/>
        <v>2156616</v>
      </c>
      <c r="AO31" s="34">
        <f t="shared" si="65"/>
        <v>-37740.780000000006</v>
      </c>
      <c r="AP31" s="34">
        <f t="shared" si="66"/>
        <v>-5391.54</v>
      </c>
      <c r="AQ31" s="34">
        <f t="shared" si="67"/>
        <v>-43132.320000000007</v>
      </c>
      <c r="AR31" s="34">
        <f t="shared" si="68"/>
        <v>2113483.6800000002</v>
      </c>
      <c r="AS31" s="34">
        <f>'[12]Adjusted Amounts'!Q180</f>
        <v>0</v>
      </c>
      <c r="AT31" s="34">
        <v>0</v>
      </c>
      <c r="AU31" s="456">
        <f t="shared" si="54"/>
        <v>2113483.6800000002</v>
      </c>
      <c r="AV31" s="111">
        <f>+'[13]Table 5B1_RSD_Orleans'!Y31+'[7]Table 5B1_RSD_Orleans'!AK31+('[8]Table 5B1_RSD_Orleans'!AK31*3)+'[9]Table 5B1_RSD_Orleans'!AK31+'[10]Table 5B1_RSD_Orleans'!AK31+'[11]Table 5B1_RSD_Orleans'!AK31</f>
        <v>1227053.7701818184</v>
      </c>
      <c r="AW31" s="111">
        <f t="shared" si="55"/>
        <v>886429.90981818177</v>
      </c>
      <c r="AX31" s="456">
        <f t="shared" si="56"/>
        <v>221607.47745454544</v>
      </c>
      <c r="AY31" s="34">
        <f t="shared" si="57"/>
        <v>4110410.68</v>
      </c>
      <c r="AZ31" s="34">
        <f t="shared" si="58"/>
        <v>442638.22745454544</v>
      </c>
      <c r="BA31" s="34">
        <f t="shared" si="59"/>
        <v>87071</v>
      </c>
      <c r="BB31" s="34">
        <f t="shared" si="60"/>
        <v>134536.47745454544</v>
      </c>
      <c r="BC31" s="146">
        <f t="shared" si="34"/>
        <v>0</v>
      </c>
    </row>
    <row r="32" spans="1:55" ht="33" customHeight="1">
      <c r="A32" s="29">
        <v>381001</v>
      </c>
      <c r="B32" s="30" t="s">
        <v>72</v>
      </c>
      <c r="C32" s="56">
        <f>'[14]RSD-NO by Site'!D29</f>
        <v>381</v>
      </c>
      <c r="D32" s="32">
        <f t="shared" si="35"/>
        <v>895270.85857286013</v>
      </c>
      <c r="E32" s="111">
        <v>743.65689655172423</v>
      </c>
      <c r="F32" s="32">
        <f t="shared" si="36"/>
        <v>283333.27758620691</v>
      </c>
      <c r="G32" s="111">
        <f t="shared" si="37"/>
        <v>1178604.136159067</v>
      </c>
      <c r="H32" s="115">
        <f>IFERROR(VLOOKUP(A32,'[4]RSD Opr + Type 5s'!$A$6:$E$77,5,FALSE),"na")</f>
        <v>15</v>
      </c>
      <c r="I32" s="111">
        <f t="shared" si="38"/>
        <v>22390.391138574811</v>
      </c>
      <c r="J32" s="115">
        <f>+IFERROR(VLOOKUP(A32,'[4]RSD Opr + Type 5s'!$A$6:$L$77,12,FALSE),"na")</f>
        <v>35</v>
      </c>
      <c r="K32" s="111">
        <f t="shared" si="39"/>
        <v>313465.47594004736</v>
      </c>
      <c r="L32" s="115">
        <f>+IFERROR(VLOOKUP(A32,'[4]RSD Opr + Type 5s'!$A$6:$V$77,22,FALSE),"na")</f>
        <v>11</v>
      </c>
      <c r="M32" s="111">
        <f t="shared" si="40"/>
        <v>180615.82185117016</v>
      </c>
      <c r="N32" s="111">
        <f t="shared" si="41"/>
        <v>516471.68892979232</v>
      </c>
      <c r="O32" s="111">
        <f t="shared" si="42"/>
        <v>1695075.8250888593</v>
      </c>
      <c r="P32" s="111">
        <f>+IFERROR(VLOOKUP(A32,'October midyear adj'!$A$128:$K$203,11,FALSE),"na")</f>
        <v>388037.31605938385</v>
      </c>
      <c r="Q32" s="115">
        <f>+IFERROR(VLOOKUP(A32,'October midyear adj'!A110:E228,5,FALSE),"Na")</f>
        <v>91</v>
      </c>
      <c r="R32" s="111">
        <f t="shared" si="43"/>
        <v>-106533.44101876675</v>
      </c>
      <c r="S32" s="111">
        <f t="shared" si="44"/>
        <v>281503.87504061707</v>
      </c>
      <c r="T32" s="111">
        <f>IFERROR(VLOOKUP(A32,'February midyear adj '!$A$128:$K$203,11,FALSE),"na")</f>
        <v>21320.731651614497</v>
      </c>
      <c r="U32" s="111">
        <f t="shared" si="45"/>
        <v>302824.60669223155</v>
      </c>
      <c r="V32" s="111">
        <f t="shared" si="46"/>
        <v>1997900.4317810908</v>
      </c>
      <c r="W32" s="34">
        <f t="shared" si="61"/>
        <v>-34963.25755616909</v>
      </c>
      <c r="X32" s="34">
        <f t="shared" si="62"/>
        <v>-4994.751079452727</v>
      </c>
      <c r="Y32" s="34">
        <f t="shared" si="63"/>
        <v>-39958.008635621816</v>
      </c>
      <c r="Z32" s="33">
        <f t="shared" si="64"/>
        <v>1957942.423145469</v>
      </c>
      <c r="AA32" s="34">
        <f>'[5]Adjusted Amounts'!I185</f>
        <v>0</v>
      </c>
      <c r="AB32" s="34">
        <v>0</v>
      </c>
      <c r="AC32" s="111">
        <f t="shared" si="47"/>
        <v>1957942</v>
      </c>
      <c r="AD32" s="111">
        <f>+'[6]Table 5B1_RSD_Orleans'!P32+'[7]Table 5B1_RSD_Orleans'!W32+('[8]Table 5B1_RSD_Orleans'!W32*3)+'[9]Table 5B1_RSD_Orleans'!W32+'[10]Table 5B1_RSD_Orleans'!W32+'[11]Table 5B1_RSD_Orleans'!W32</f>
        <v>1365513</v>
      </c>
      <c r="AE32" s="111">
        <f t="shared" si="48"/>
        <v>592429</v>
      </c>
      <c r="AF32" s="111">
        <f t="shared" si="49"/>
        <v>148107.25</v>
      </c>
      <c r="AG32" s="111">
        <f t="shared" si="69"/>
        <v>1778508</v>
      </c>
      <c r="AH32" s="111">
        <v>0</v>
      </c>
      <c r="AI32" s="115">
        <f t="shared" si="50"/>
        <v>91</v>
      </c>
      <c r="AJ32" s="111">
        <f t="shared" si="51"/>
        <v>424788</v>
      </c>
      <c r="AK32" s="115">
        <f>+IFERROR(VLOOKUP(A32,'February midyear adj '!$A$85:$E$204,5,FALSE),"na")</f>
        <v>10</v>
      </c>
      <c r="AL32" s="111">
        <f t="shared" si="70"/>
        <v>23340</v>
      </c>
      <c r="AM32" s="111">
        <f t="shared" si="52"/>
        <v>448128</v>
      </c>
      <c r="AN32" s="33">
        <f t="shared" si="53"/>
        <v>2226636</v>
      </c>
      <c r="AO32" s="34">
        <f t="shared" si="65"/>
        <v>-38966.130000000005</v>
      </c>
      <c r="AP32" s="34">
        <f t="shared" si="66"/>
        <v>-5566.59</v>
      </c>
      <c r="AQ32" s="34">
        <f t="shared" si="67"/>
        <v>-44532.72</v>
      </c>
      <c r="AR32" s="34">
        <f t="shared" si="68"/>
        <v>2182103.2799999998</v>
      </c>
      <c r="AS32" s="34">
        <v>0</v>
      </c>
      <c r="AT32" s="34">
        <v>0</v>
      </c>
      <c r="AU32" s="456">
        <f t="shared" si="54"/>
        <v>2182103.2799999998</v>
      </c>
      <c r="AV32" s="111">
        <f>+'[13]Table 5B1_RSD_Orleans'!Y32+'[7]Table 5B1_RSD_Orleans'!AK32+('[8]Table 5B1_RSD_Orleans'!AK32*3)+'[9]Table 5B1_RSD_Orleans'!AK32+'[10]Table 5B1_RSD_Orleans'!AK32+'[11]Table 5B1_RSD_Orleans'!AK32</f>
        <v>1457397.6676363638</v>
      </c>
      <c r="AW32" s="111">
        <f t="shared" si="55"/>
        <v>724705.61236363603</v>
      </c>
      <c r="AX32" s="456">
        <f t="shared" si="56"/>
        <v>181176.40309090901</v>
      </c>
      <c r="AY32" s="34">
        <f t="shared" si="57"/>
        <v>4140045.28</v>
      </c>
      <c r="AZ32" s="34">
        <f t="shared" si="58"/>
        <v>329283.65309090901</v>
      </c>
      <c r="BA32" s="34">
        <f t="shared" si="59"/>
        <v>71186</v>
      </c>
      <c r="BB32" s="34">
        <f t="shared" si="60"/>
        <v>109990.40309090901</v>
      </c>
      <c r="BC32" s="146">
        <f t="shared" si="34"/>
        <v>0</v>
      </c>
    </row>
    <row r="33" spans="1:55" ht="33" customHeight="1">
      <c r="A33" s="35">
        <v>382001</v>
      </c>
      <c r="B33" s="36" t="s">
        <v>86</v>
      </c>
      <c r="C33" s="31">
        <f>'[14]RSD-NO by Site'!D30</f>
        <v>401</v>
      </c>
      <c r="D33" s="32">
        <f t="shared" si="35"/>
        <v>942266.70416723599</v>
      </c>
      <c r="E33" s="32">
        <v>783.54939759036142</v>
      </c>
      <c r="F33" s="32">
        <f t="shared" si="36"/>
        <v>314203.30843373493</v>
      </c>
      <c r="G33" s="111">
        <f t="shared" si="37"/>
        <v>1256470.0126009709</v>
      </c>
      <c r="H33" s="115">
        <f>IFERROR(VLOOKUP(A33,'[4]RSD Opr + Type 5s'!$A$6:$E$77,5,FALSE),"na")</f>
        <v>2</v>
      </c>
      <c r="I33" s="111">
        <f t="shared" si="38"/>
        <v>2985.385485143308</v>
      </c>
      <c r="J33" s="115">
        <f>+IFERROR(VLOOKUP(A33,'[4]RSD Opr + Type 5s'!$A$6:$L$77,12,FALSE),"na")</f>
        <v>49</v>
      </c>
      <c r="K33" s="111">
        <f t="shared" si="39"/>
        <v>438851.66631606629</v>
      </c>
      <c r="L33" s="115">
        <f>+IFERROR(VLOOKUP(A33,'[4]RSD Opr + Type 5s'!$A$6:$V$77,22,FALSE),"na")</f>
        <v>20</v>
      </c>
      <c r="M33" s="111">
        <f t="shared" si="40"/>
        <v>328392.40336576389</v>
      </c>
      <c r="N33" s="111">
        <f t="shared" si="41"/>
        <v>770229.45516697341</v>
      </c>
      <c r="O33" s="111">
        <f t="shared" si="42"/>
        <v>2026699.4677679443</v>
      </c>
      <c r="P33" s="111">
        <f>+IFERROR(VLOOKUP(A33,'October midyear adj'!$A$128:$K$203,11,FALSE),"na")</f>
        <v>176465.59208582301</v>
      </c>
      <c r="Q33" s="115">
        <f>+IFERROR(VLOOKUP(A33,'October midyear adj'!A111:E229,5,FALSE),"Na")</f>
        <v>41</v>
      </c>
      <c r="R33" s="111">
        <f t="shared" si="43"/>
        <v>-47998.583316147655</v>
      </c>
      <c r="S33" s="111">
        <f t="shared" si="44"/>
        <v>128467.00876967536</v>
      </c>
      <c r="T33" s="111">
        <f>IFERROR(VLOOKUP(A33,'February midyear adj '!$A$128:$K$203,11,FALSE),"na")</f>
        <v>-19368.174741126917</v>
      </c>
      <c r="U33" s="111">
        <f t="shared" si="45"/>
        <v>109098.83402854844</v>
      </c>
      <c r="V33" s="111">
        <f t="shared" si="46"/>
        <v>2135798.3017964927</v>
      </c>
      <c r="W33" s="34">
        <f t="shared" si="61"/>
        <v>-37376.470281438626</v>
      </c>
      <c r="X33" s="34">
        <f t="shared" si="62"/>
        <v>-5339.4957544912313</v>
      </c>
      <c r="Y33" s="34">
        <f t="shared" si="63"/>
        <v>-42715.966035929858</v>
      </c>
      <c r="Z33" s="33">
        <f t="shared" si="64"/>
        <v>2093082.3357605627</v>
      </c>
      <c r="AA33" s="34">
        <f>'[5]Adjusted Amounts'!I186</f>
        <v>-24145.178855639864</v>
      </c>
      <c r="AB33" s="34">
        <v>0</v>
      </c>
      <c r="AC33" s="111">
        <f t="shared" si="47"/>
        <v>2068937</v>
      </c>
      <c r="AD33" s="111">
        <f>+'[6]Table 5B1_RSD_Orleans'!P33+'[7]Table 5B1_RSD_Orleans'!W33+('[8]Table 5B1_RSD_Orleans'!W33*3)+'[9]Table 5B1_RSD_Orleans'!W33+'[10]Table 5B1_RSD_Orleans'!W33+'[11]Table 5B1_RSD_Orleans'!W33</f>
        <v>1241874</v>
      </c>
      <c r="AE33" s="111">
        <f t="shared" si="48"/>
        <v>827063</v>
      </c>
      <c r="AF33" s="111">
        <f t="shared" si="49"/>
        <v>206765.75</v>
      </c>
      <c r="AG33" s="111">
        <f t="shared" si="69"/>
        <v>1871868</v>
      </c>
      <c r="AH33" s="111">
        <v>0</v>
      </c>
      <c r="AI33" s="115">
        <f t="shared" si="50"/>
        <v>41</v>
      </c>
      <c r="AJ33" s="111">
        <f t="shared" si="51"/>
        <v>191388</v>
      </c>
      <c r="AK33" s="115">
        <f>+IFERROR(VLOOKUP(A33,'February midyear adj '!$A$85:$E$204,5,FALSE),"na")</f>
        <v>-9</v>
      </c>
      <c r="AL33" s="111">
        <f t="shared" si="70"/>
        <v>-21006</v>
      </c>
      <c r="AM33" s="111">
        <f t="shared" si="52"/>
        <v>170382</v>
      </c>
      <c r="AN33" s="33">
        <f t="shared" si="53"/>
        <v>2042250</v>
      </c>
      <c r="AO33" s="34">
        <f t="shared" si="65"/>
        <v>-35739.375</v>
      </c>
      <c r="AP33" s="34">
        <f t="shared" si="66"/>
        <v>-5105.625</v>
      </c>
      <c r="AQ33" s="34">
        <f t="shared" si="67"/>
        <v>-40845</v>
      </c>
      <c r="AR33" s="34">
        <f t="shared" si="68"/>
        <v>2001405</v>
      </c>
      <c r="AS33" s="34">
        <f>'[12]Adjusted Amounts'!Q186</f>
        <v>-8399</v>
      </c>
      <c r="AT33" s="34">
        <v>0</v>
      </c>
      <c r="AU33" s="456">
        <f t="shared" si="54"/>
        <v>1993006</v>
      </c>
      <c r="AV33" s="111">
        <f>+'[13]Table 5B1_RSD_Orleans'!Y33+'[7]Table 5B1_RSD_Orleans'!AK33+('[8]Table 5B1_RSD_Orleans'!AK33*3)+'[9]Table 5B1_RSD_Orleans'!AK33+'[10]Table 5B1_RSD_Orleans'!AK33+'[11]Table 5B1_RSD_Orleans'!AK33</f>
        <v>1218402.7563030303</v>
      </c>
      <c r="AW33" s="111">
        <f t="shared" si="55"/>
        <v>774603.2436969697</v>
      </c>
      <c r="AX33" s="456">
        <f t="shared" si="56"/>
        <v>193650.81092424243</v>
      </c>
      <c r="AY33" s="34">
        <f t="shared" si="57"/>
        <v>4061943</v>
      </c>
      <c r="AZ33" s="34">
        <f t="shared" si="58"/>
        <v>400416.56092424243</v>
      </c>
      <c r="BA33" s="34">
        <f t="shared" si="59"/>
        <v>76087</v>
      </c>
      <c r="BB33" s="34">
        <f t="shared" si="60"/>
        <v>117563.81092424243</v>
      </c>
      <c r="BC33" s="146">
        <f t="shared" si="34"/>
        <v>0</v>
      </c>
    </row>
    <row r="34" spans="1:55" ht="30.75" customHeight="1">
      <c r="A34" s="37">
        <v>382002</v>
      </c>
      <c r="B34" s="38" t="s">
        <v>65</v>
      </c>
      <c r="C34" s="57">
        <f>'[14]RSD-NO by Site'!D31</f>
        <v>105</v>
      </c>
      <c r="D34" s="40">
        <f t="shared" si="35"/>
        <v>246728.18937047326</v>
      </c>
      <c r="E34" s="40">
        <v>746.0335616438357</v>
      </c>
      <c r="F34" s="40">
        <f t="shared" si="36"/>
        <v>78333.52397260275</v>
      </c>
      <c r="G34" s="120">
        <f t="shared" si="37"/>
        <v>325061.713343076</v>
      </c>
      <c r="H34" s="135">
        <f>IFERROR(VLOOKUP(A34,'[4]RSD Opr + Type 5s'!$A$6:$E$77,5,FALSE),"na")</f>
        <v>3</v>
      </c>
      <c r="I34" s="120">
        <f t="shared" si="38"/>
        <v>4478.0782277149619</v>
      </c>
      <c r="J34" s="135">
        <f>+IFERROR(VLOOKUP(A34,'[4]RSD Opr + Type 5s'!$A$6:$L$77,12,FALSE),"na")</f>
        <v>20</v>
      </c>
      <c r="K34" s="120">
        <f t="shared" si="39"/>
        <v>179123.12910859848</v>
      </c>
      <c r="L34" s="135">
        <f>+IFERROR(VLOOKUP(A34,'[4]RSD Opr + Type 5s'!$A$6:$V$77,22,FALSE),"na")</f>
        <v>5</v>
      </c>
      <c r="M34" s="120">
        <f t="shared" si="40"/>
        <v>82098.100841440973</v>
      </c>
      <c r="N34" s="120">
        <f t="shared" si="41"/>
        <v>265699.3081777544</v>
      </c>
      <c r="O34" s="120">
        <f t="shared" si="42"/>
        <v>590761.02152083046</v>
      </c>
      <c r="P34" s="120">
        <f>+IFERROR(VLOOKUP(A34,'October midyear adj'!$A$128:$K$203,11,FALSE),"na")</f>
        <v>465051.00650023617</v>
      </c>
      <c r="Q34" s="135">
        <f>+IFERROR(VLOOKUP(A34,'October midyear adj'!A112:E230,5,FALSE),"Na")</f>
        <v>109</v>
      </c>
      <c r="R34" s="120">
        <f t="shared" si="43"/>
        <v>-127605.98979170962</v>
      </c>
      <c r="S34" s="120">
        <f t="shared" si="44"/>
        <v>337445.01670852653</v>
      </c>
      <c r="T34" s="120">
        <f>IFERROR(VLOOKUP(A34,'February midyear adj '!$A$128:$K$203,11,FALSE),"na")</f>
        <v>-25599.137972490065</v>
      </c>
      <c r="U34" s="120">
        <f t="shared" si="45"/>
        <v>311845.87873603648</v>
      </c>
      <c r="V34" s="120">
        <f t="shared" si="46"/>
        <v>902606.90025686694</v>
      </c>
      <c r="W34" s="42">
        <f t="shared" si="61"/>
        <v>-15795.620754495172</v>
      </c>
      <c r="X34" s="42">
        <f t="shared" si="62"/>
        <v>-2256.5172506421673</v>
      </c>
      <c r="Y34" s="42">
        <f t="shared" si="63"/>
        <v>-18052.138005137338</v>
      </c>
      <c r="Z34" s="41">
        <f t="shared" si="64"/>
        <v>884554.76225172961</v>
      </c>
      <c r="AA34" s="42">
        <v>0</v>
      </c>
      <c r="AB34" s="42">
        <v>0</v>
      </c>
      <c r="AC34" s="120">
        <f t="shared" si="47"/>
        <v>884555</v>
      </c>
      <c r="AD34" s="120">
        <f>+'[6]Table 5B1_RSD_Orleans'!P34+'[7]Table 5B1_RSD_Orleans'!W34+('[8]Table 5B1_RSD_Orleans'!W34*3)+'[9]Table 5B1_RSD_Orleans'!W34+'[10]Table 5B1_RSD_Orleans'!W34+'[11]Table 5B1_RSD_Orleans'!W34</f>
        <v>622456</v>
      </c>
      <c r="AE34" s="120">
        <f t="shared" si="48"/>
        <v>262099</v>
      </c>
      <c r="AF34" s="120">
        <f t="shared" si="49"/>
        <v>65524.75</v>
      </c>
      <c r="AG34" s="120">
        <f t="shared" si="69"/>
        <v>490140</v>
      </c>
      <c r="AH34" s="120">
        <v>0</v>
      </c>
      <c r="AI34" s="135">
        <f t="shared" si="50"/>
        <v>109</v>
      </c>
      <c r="AJ34" s="120">
        <f t="shared" si="51"/>
        <v>508812</v>
      </c>
      <c r="AK34" s="135">
        <f>+IFERROR(VLOOKUP(A34,'February midyear adj '!$A$85:$E$204,5,FALSE),"na")</f>
        <v>-12</v>
      </c>
      <c r="AL34" s="120">
        <f t="shared" si="70"/>
        <v>-28008</v>
      </c>
      <c r="AM34" s="120">
        <f t="shared" si="52"/>
        <v>480804</v>
      </c>
      <c r="AN34" s="41">
        <f t="shared" si="53"/>
        <v>970944</v>
      </c>
      <c r="AO34" s="42">
        <f t="shared" si="65"/>
        <v>-16991.52</v>
      </c>
      <c r="AP34" s="42">
        <f t="shared" si="66"/>
        <v>-2427.36</v>
      </c>
      <c r="AQ34" s="42">
        <f t="shared" si="67"/>
        <v>-19418.88</v>
      </c>
      <c r="AR34" s="42">
        <f t="shared" si="68"/>
        <v>951525.12</v>
      </c>
      <c r="AS34" s="42">
        <f>'[12]Adjusted Amounts'!Q187</f>
        <v>0</v>
      </c>
      <c r="AT34" s="42">
        <v>0</v>
      </c>
      <c r="AU34" s="457">
        <f t="shared" si="54"/>
        <v>951525.12</v>
      </c>
      <c r="AV34" s="120">
        <f>+'[13]Table 5B1_RSD_Orleans'!Y34+'[7]Table 5B1_RSD_Orleans'!AK34+('[8]Table 5B1_RSD_Orleans'!AK34*3)+'[9]Table 5B1_RSD_Orleans'!AK34+'[10]Table 5B1_RSD_Orleans'!AK34+'[11]Table 5B1_RSD_Orleans'!AK34</f>
        <v>660478.07345454535</v>
      </c>
      <c r="AW34" s="120">
        <f t="shared" si="55"/>
        <v>291047.04654545465</v>
      </c>
      <c r="AX34" s="457">
        <f t="shared" si="56"/>
        <v>72761.761636363663</v>
      </c>
      <c r="AY34" s="42">
        <f t="shared" si="57"/>
        <v>1836080.12</v>
      </c>
      <c r="AZ34" s="42">
        <f t="shared" si="58"/>
        <v>138286.51163636366</v>
      </c>
      <c r="BA34" s="42">
        <f t="shared" si="59"/>
        <v>28589</v>
      </c>
      <c r="BB34" s="42">
        <f t="shared" si="60"/>
        <v>44172.761636363663</v>
      </c>
      <c r="BC34" s="146">
        <f t="shared" si="34"/>
        <v>0</v>
      </c>
    </row>
    <row r="35" spans="1:55" ht="30.75" customHeight="1">
      <c r="A35" s="22">
        <v>382003</v>
      </c>
      <c r="B35" s="23" t="s">
        <v>66</v>
      </c>
      <c r="C35" s="43">
        <f>'[14]RSD-NO by Site'!D32</f>
        <v>100</v>
      </c>
      <c r="D35" s="25">
        <f t="shared" si="35"/>
        <v>234979.2279718793</v>
      </c>
      <c r="E35" s="25">
        <v>746.0335616438357</v>
      </c>
      <c r="F35" s="25">
        <f t="shared" si="36"/>
        <v>74603.356164383571</v>
      </c>
      <c r="G35" s="121">
        <f t="shared" si="37"/>
        <v>309582.58413626289</v>
      </c>
      <c r="H35" s="134">
        <f>IFERROR(VLOOKUP(A35,'[4]RSD Opr + Type 5s'!$A$6:$E$77,5,FALSE),"na")</f>
        <v>1</v>
      </c>
      <c r="I35" s="121">
        <f t="shared" si="38"/>
        <v>1492.692742571654</v>
      </c>
      <c r="J35" s="134">
        <f>+IFERROR(VLOOKUP(A35,'[4]RSD Opr + Type 5s'!$A$6:$L$77,12,FALSE),"na")</f>
        <v>20</v>
      </c>
      <c r="K35" s="121">
        <f t="shared" si="39"/>
        <v>179123.12910859848</v>
      </c>
      <c r="L35" s="134">
        <f>+IFERROR(VLOOKUP(A35,'[4]RSD Opr + Type 5s'!$A$6:$V$77,22,FALSE),"na")</f>
        <v>6</v>
      </c>
      <c r="M35" s="121">
        <f t="shared" si="40"/>
        <v>98517.721009729168</v>
      </c>
      <c r="N35" s="121">
        <f t="shared" si="41"/>
        <v>279133.5428608993</v>
      </c>
      <c r="O35" s="121">
        <f t="shared" si="42"/>
        <v>588716.12699716212</v>
      </c>
      <c r="P35" s="121">
        <f>+IFERROR(VLOOKUP(A35,'October midyear adj'!$A$128:$K$203,11,FALSE),"na")</f>
        <v>413852.73055525607</v>
      </c>
      <c r="Q35" s="134">
        <f>+IFERROR(VLOOKUP(A35,'October midyear adj'!A113:E231,5,FALSE),"Na")</f>
        <v>97</v>
      </c>
      <c r="R35" s="121">
        <f t="shared" si="43"/>
        <v>-113557.62394308104</v>
      </c>
      <c r="S35" s="121">
        <f t="shared" si="44"/>
        <v>300295.106612175</v>
      </c>
      <c r="T35" s="121">
        <f>IFERROR(VLOOKUP(A35,'February midyear adj '!$A$128:$K$203,11,FALSE),"na")</f>
        <v>-23465.876474782559</v>
      </c>
      <c r="U35" s="121">
        <f t="shared" si="45"/>
        <v>276829.23013739247</v>
      </c>
      <c r="V35" s="121">
        <f t="shared" si="46"/>
        <v>865545.35713455454</v>
      </c>
      <c r="W35" s="27">
        <f t="shared" si="61"/>
        <v>-15147.043749854705</v>
      </c>
      <c r="X35" s="27">
        <f t="shared" si="62"/>
        <v>-2163.8633928363865</v>
      </c>
      <c r="Y35" s="27">
        <f t="shared" si="63"/>
        <v>-17310.907142691092</v>
      </c>
      <c r="Z35" s="26">
        <f t="shared" si="64"/>
        <v>848234.44999186345</v>
      </c>
      <c r="AA35" s="27">
        <v>0</v>
      </c>
      <c r="AB35" s="27">
        <v>0</v>
      </c>
      <c r="AC35" s="121">
        <f t="shared" si="47"/>
        <v>848234</v>
      </c>
      <c r="AD35" s="445">
        <f>+'[6]Table 5B1_RSD_Orleans'!P35+'[7]Table 5B1_RSD_Orleans'!W35+('[8]Table 5B1_RSD_Orleans'!W35*3)+'[9]Table 5B1_RSD_Orleans'!W35+'[10]Table 5B1_RSD_Orleans'!W35+'[11]Table 5B1_RSD_Orleans'!W35</f>
        <v>549677</v>
      </c>
      <c r="AE35" s="445">
        <f t="shared" si="48"/>
        <v>298557</v>
      </c>
      <c r="AF35" s="445">
        <f t="shared" si="49"/>
        <v>74639.25</v>
      </c>
      <c r="AG35" s="121">
        <f t="shared" si="69"/>
        <v>466800</v>
      </c>
      <c r="AH35" s="121">
        <v>0</v>
      </c>
      <c r="AI35" s="134">
        <f t="shared" si="50"/>
        <v>97</v>
      </c>
      <c r="AJ35" s="121">
        <f t="shared" si="51"/>
        <v>452796</v>
      </c>
      <c r="AK35" s="134">
        <f>+IFERROR(VLOOKUP(A35,'February midyear adj '!$A$85:$E$204,5,FALSE),"na")</f>
        <v>-11</v>
      </c>
      <c r="AL35" s="121">
        <f t="shared" si="70"/>
        <v>-25674</v>
      </c>
      <c r="AM35" s="121">
        <f t="shared" si="52"/>
        <v>427122</v>
      </c>
      <c r="AN35" s="26">
        <f t="shared" si="53"/>
        <v>893922</v>
      </c>
      <c r="AO35" s="27">
        <f t="shared" si="65"/>
        <v>-15643.635000000002</v>
      </c>
      <c r="AP35" s="27">
        <f t="shared" si="66"/>
        <v>-2234.8049999999998</v>
      </c>
      <c r="AQ35" s="27">
        <f t="shared" si="67"/>
        <v>-17878.440000000002</v>
      </c>
      <c r="AR35" s="27">
        <f t="shared" si="68"/>
        <v>876043.56</v>
      </c>
      <c r="AS35" s="27">
        <f>'[12]Adjusted Amounts'!Q188</f>
        <v>0</v>
      </c>
      <c r="AT35" s="27">
        <v>0</v>
      </c>
      <c r="AU35" s="455">
        <f t="shared" si="54"/>
        <v>876043.56</v>
      </c>
      <c r="AV35" s="445">
        <f>+'[13]Table 5B1_RSD_Orleans'!Y35+'[7]Table 5B1_RSD_Orleans'!AK35+('[8]Table 5B1_RSD_Orleans'!AK35*3)+'[9]Table 5B1_RSD_Orleans'!AK35+'[10]Table 5B1_RSD_Orleans'!AK35+'[11]Table 5B1_RSD_Orleans'!AK35</f>
        <v>602094.24775757571</v>
      </c>
      <c r="AW35" s="445">
        <f t="shared" si="55"/>
        <v>273949.31224242435</v>
      </c>
      <c r="AX35" s="461">
        <f t="shared" si="56"/>
        <v>68487.328060606087</v>
      </c>
      <c r="AY35" s="27">
        <f t="shared" si="57"/>
        <v>1724277.56</v>
      </c>
      <c r="AZ35" s="27">
        <f t="shared" si="58"/>
        <v>143126.57806060609</v>
      </c>
      <c r="BA35" s="27">
        <f t="shared" si="59"/>
        <v>26909</v>
      </c>
      <c r="BB35" s="27">
        <f t="shared" si="60"/>
        <v>41578.328060606087</v>
      </c>
      <c r="BC35" s="146">
        <f t="shared" si="34"/>
        <v>0</v>
      </c>
    </row>
    <row r="36" spans="1:55" ht="30.75" customHeight="1">
      <c r="A36" s="35">
        <v>384001</v>
      </c>
      <c r="B36" s="36" t="s">
        <v>24</v>
      </c>
      <c r="C36" s="31">
        <f>'[14]RSD-NO by Site'!D33</f>
        <v>400</v>
      </c>
      <c r="D36" s="32">
        <f t="shared" si="35"/>
        <v>939916.9118875172</v>
      </c>
      <c r="E36" s="32">
        <v>735.82244897959185</v>
      </c>
      <c r="F36" s="32">
        <f t="shared" si="36"/>
        <v>294328.97959183675</v>
      </c>
      <c r="G36" s="111">
        <f t="shared" si="37"/>
        <v>1234245.8914793539</v>
      </c>
      <c r="H36" s="115">
        <f>IFERROR(VLOOKUP(A36,'[4]RSD Opr + Type 5s'!$A$6:$E$77,5,FALSE),"na")</f>
        <v>3</v>
      </c>
      <c r="I36" s="111">
        <f t="shared" si="38"/>
        <v>4478.0782277149619</v>
      </c>
      <c r="J36" s="115">
        <f>+IFERROR(VLOOKUP(A36,'[4]RSD Opr + Type 5s'!$A$6:$L$77,12,FALSE),"na")</f>
        <v>36</v>
      </c>
      <c r="K36" s="111">
        <f t="shared" si="39"/>
        <v>322421.63239547727</v>
      </c>
      <c r="L36" s="115">
        <f>+IFERROR(VLOOKUP(A36,'[4]RSD Opr + Type 5s'!$A$6:$V$77,22,FALSE),"na")</f>
        <v>11</v>
      </c>
      <c r="M36" s="111">
        <f t="shared" si="40"/>
        <v>180615.82185117016</v>
      </c>
      <c r="N36" s="111">
        <f t="shared" si="41"/>
        <v>507515.53247436241</v>
      </c>
      <c r="O36" s="111">
        <f t="shared" si="42"/>
        <v>1741761.4239537162</v>
      </c>
      <c r="P36" s="111">
        <f>+IFERROR(VLOOKUP(A36,'October midyear adj'!$A$128:$K$203,11,FALSE),"na")</f>
        <v>-319223.39120630751</v>
      </c>
      <c r="Q36" s="115">
        <f>+IFERROR(VLOOKUP(A36,'October midyear adj'!A114:E232,5,FALSE),"Na")</f>
        <v>-75</v>
      </c>
      <c r="R36" s="111">
        <f t="shared" si="43"/>
        <v>87802.286553928643</v>
      </c>
      <c r="S36" s="111">
        <f t="shared" si="44"/>
        <v>-231421.10465237888</v>
      </c>
      <c r="T36" s="111">
        <f>IFERROR(VLOOKUP(A36,'February midyear adj '!$A$128:$K$203,11,FALSE),"na")</f>
        <v>2128.1559413753835</v>
      </c>
      <c r="U36" s="111">
        <f t="shared" si="45"/>
        <v>-229292.9487110035</v>
      </c>
      <c r="V36" s="111">
        <f t="shared" si="46"/>
        <v>1512468.4752427128</v>
      </c>
      <c r="W36" s="34">
        <f t="shared" si="61"/>
        <v>-26468.198316747475</v>
      </c>
      <c r="X36" s="34">
        <f t="shared" si="62"/>
        <v>-3781.1711881067822</v>
      </c>
      <c r="Y36" s="34">
        <f t="shared" si="63"/>
        <v>-30249.369504854258</v>
      </c>
      <c r="Z36" s="33">
        <f t="shared" si="64"/>
        <v>1482219.1057378585</v>
      </c>
      <c r="AA36" s="34">
        <f>'[5]Adjusted Amounts'!I190</f>
        <v>-13786.843486509482</v>
      </c>
      <c r="AB36" s="34">
        <v>0</v>
      </c>
      <c r="AC36" s="111">
        <f t="shared" si="47"/>
        <v>1468432</v>
      </c>
      <c r="AD36" s="111">
        <f>+'[6]Table 5B1_RSD_Orleans'!P36+'[7]Table 5B1_RSD_Orleans'!W36+('[8]Table 5B1_RSD_Orleans'!W36*3)+'[9]Table 5B1_RSD_Orleans'!W36+'[10]Table 5B1_RSD_Orleans'!W36+'[11]Table 5B1_RSD_Orleans'!W36</f>
        <v>1060023</v>
      </c>
      <c r="AE36" s="111">
        <f t="shared" si="48"/>
        <v>408409</v>
      </c>
      <c r="AF36" s="111">
        <f t="shared" si="49"/>
        <v>102102.25</v>
      </c>
      <c r="AG36" s="111">
        <f t="shared" si="69"/>
        <v>1867200</v>
      </c>
      <c r="AH36" s="111">
        <v>0</v>
      </c>
      <c r="AI36" s="115">
        <f t="shared" si="50"/>
        <v>-75</v>
      </c>
      <c r="AJ36" s="111">
        <f t="shared" si="51"/>
        <v>-350100</v>
      </c>
      <c r="AK36" s="115">
        <f>+IFERROR(VLOOKUP(A36,'February midyear adj '!$A$85:$E$204,5,FALSE),"na")</f>
        <v>1</v>
      </c>
      <c r="AL36" s="111">
        <f t="shared" si="70"/>
        <v>2334</v>
      </c>
      <c r="AM36" s="111">
        <f t="shared" si="52"/>
        <v>-347766</v>
      </c>
      <c r="AN36" s="33">
        <f t="shared" si="53"/>
        <v>1519434</v>
      </c>
      <c r="AO36" s="34">
        <f t="shared" si="65"/>
        <v>-26590.095000000001</v>
      </c>
      <c r="AP36" s="34">
        <f t="shared" si="66"/>
        <v>-3798.585</v>
      </c>
      <c r="AQ36" s="34">
        <f t="shared" si="67"/>
        <v>-30388.68</v>
      </c>
      <c r="AR36" s="34">
        <f t="shared" si="68"/>
        <v>1489045.32</v>
      </c>
      <c r="AS36" s="34">
        <f>'[12]Adjusted Amounts'!Q190</f>
        <v>-10493.5</v>
      </c>
      <c r="AT36" s="34">
        <v>0</v>
      </c>
      <c r="AU36" s="456">
        <f t="shared" si="54"/>
        <v>1478551.82</v>
      </c>
      <c r="AV36" s="111">
        <f>+'[13]Table 5B1_RSD_Orleans'!Y36+'[7]Table 5B1_RSD_Orleans'!AK36+('[8]Table 5B1_RSD_Orleans'!AK36*3)+'[9]Table 5B1_RSD_Orleans'!AK36+'[10]Table 5B1_RSD_Orleans'!AK36+'[11]Table 5B1_RSD_Orleans'!AK36</f>
        <v>1066785.9356060605</v>
      </c>
      <c r="AW36" s="111">
        <f t="shared" si="55"/>
        <v>411765.88439393952</v>
      </c>
      <c r="AX36" s="456">
        <f t="shared" si="56"/>
        <v>102941.47109848488</v>
      </c>
      <c r="AY36" s="34">
        <f t="shared" si="57"/>
        <v>2946983.8200000003</v>
      </c>
      <c r="AZ36" s="34">
        <f t="shared" si="58"/>
        <v>205043.72109848488</v>
      </c>
      <c r="BA36" s="34">
        <f t="shared" si="59"/>
        <v>40446</v>
      </c>
      <c r="BB36" s="34">
        <f t="shared" si="60"/>
        <v>62495.471098484879</v>
      </c>
      <c r="BC36" s="146">
        <f t="shared" si="34"/>
        <v>0</v>
      </c>
    </row>
    <row r="37" spans="1:55" ht="30.75" customHeight="1">
      <c r="A37" s="35">
        <v>385001</v>
      </c>
      <c r="B37" s="36" t="s">
        <v>76</v>
      </c>
      <c r="C37" s="56">
        <f>'[14]RSD-NO by Site'!D34</f>
        <v>352</v>
      </c>
      <c r="D37" s="32">
        <f t="shared" si="35"/>
        <v>827126.88246101514</v>
      </c>
      <c r="E37" s="32">
        <v>618.75651162790689</v>
      </c>
      <c r="F37" s="32">
        <f t="shared" si="36"/>
        <v>217802.29209302322</v>
      </c>
      <c r="G37" s="111">
        <f t="shared" si="37"/>
        <v>1044929.1745540383</v>
      </c>
      <c r="H37" s="115">
        <f>IFERROR(VLOOKUP(A37,'[4]RSD Opr + Type 5s'!$A$6:$E$77,5,FALSE),"na")</f>
        <v>10</v>
      </c>
      <c r="I37" s="111">
        <f t="shared" si="38"/>
        <v>14926.92742571654</v>
      </c>
      <c r="J37" s="115">
        <f>+IFERROR(VLOOKUP(A37,'[4]RSD Opr + Type 5s'!$A$6:$L$77,12,FALSE),"na")</f>
        <v>28</v>
      </c>
      <c r="K37" s="111">
        <f t="shared" si="39"/>
        <v>250772.38075203786</v>
      </c>
      <c r="L37" s="115">
        <f>+IFERROR(VLOOKUP(A37,'[4]RSD Opr + Type 5s'!$A$6:$V$77,22,FALSE),"na")</f>
        <v>3</v>
      </c>
      <c r="M37" s="111">
        <f t="shared" si="40"/>
        <v>49258.860504864584</v>
      </c>
      <c r="N37" s="111">
        <f t="shared" si="41"/>
        <v>314958.168682619</v>
      </c>
      <c r="O37" s="111">
        <f t="shared" si="42"/>
        <v>1359887.3432366573</v>
      </c>
      <c r="P37" s="111">
        <f>+IFERROR(VLOOKUP(A37,'October midyear adj'!$A$128:$K$203,11,FALSE),"na")</f>
        <v>-132455.8702527706</v>
      </c>
      <c r="Q37" s="115">
        <f>+IFERROR(VLOOKUP(A37,'October midyear adj'!A115:E233,5,FALSE),"Na")</f>
        <v>-32</v>
      </c>
      <c r="R37" s="111">
        <f t="shared" si="43"/>
        <v>37462.308929676219</v>
      </c>
      <c r="S37" s="111">
        <f t="shared" si="44"/>
        <v>-94993.561323094385</v>
      </c>
      <c r="T37" s="111">
        <f>IFERROR(VLOOKUP(A37,'February midyear adj '!$A$128:$K$203,11,FALSE),"na")</f>
        <v>4139.2459453990814</v>
      </c>
      <c r="U37" s="111">
        <f t="shared" si="45"/>
        <v>-90854.315377695311</v>
      </c>
      <c r="V37" s="111">
        <f t="shared" si="46"/>
        <v>1269033.0278589621</v>
      </c>
      <c r="W37" s="34">
        <f t="shared" si="61"/>
        <v>-22208.077987531837</v>
      </c>
      <c r="X37" s="34">
        <f t="shared" si="62"/>
        <v>-3172.5825696474053</v>
      </c>
      <c r="Y37" s="34">
        <f t="shared" si="63"/>
        <v>-25380.660557179242</v>
      </c>
      <c r="Z37" s="33">
        <f t="shared" si="64"/>
        <v>1243652.3673017828</v>
      </c>
      <c r="AA37" s="34">
        <f>'[5]Adjusted Amounts'!I191</f>
        <v>-3516.4052830321971</v>
      </c>
      <c r="AB37" s="34">
        <v>0</v>
      </c>
      <c r="AC37" s="111">
        <f t="shared" si="47"/>
        <v>1240136</v>
      </c>
      <c r="AD37" s="111">
        <f>+'[6]Table 5B1_RSD_Orleans'!P37+'[7]Table 5B1_RSD_Orleans'!W37+('[8]Table 5B1_RSD_Orleans'!W37*3)+'[9]Table 5B1_RSD_Orleans'!W37+'[10]Table 5B1_RSD_Orleans'!W37+'[11]Table 5B1_RSD_Orleans'!W37</f>
        <v>947624</v>
      </c>
      <c r="AE37" s="111">
        <f t="shared" si="48"/>
        <v>292512</v>
      </c>
      <c r="AF37" s="111">
        <f t="shared" si="49"/>
        <v>73128</v>
      </c>
      <c r="AG37" s="111">
        <f t="shared" si="69"/>
        <v>1643136</v>
      </c>
      <c r="AH37" s="111">
        <v>0</v>
      </c>
      <c r="AI37" s="115">
        <f t="shared" si="50"/>
        <v>-32</v>
      </c>
      <c r="AJ37" s="111">
        <f t="shared" si="51"/>
        <v>-149376</v>
      </c>
      <c r="AK37" s="115">
        <f>+IFERROR(VLOOKUP(A37,'February midyear adj '!$A$85:$E$204,5,FALSE),"na")</f>
        <v>2</v>
      </c>
      <c r="AL37" s="111">
        <f t="shared" si="70"/>
        <v>4668</v>
      </c>
      <c r="AM37" s="111">
        <f t="shared" si="52"/>
        <v>-144708</v>
      </c>
      <c r="AN37" s="33">
        <f t="shared" si="53"/>
        <v>1498428</v>
      </c>
      <c r="AO37" s="34">
        <f t="shared" si="65"/>
        <v>-26222.49</v>
      </c>
      <c r="AP37" s="34">
        <f t="shared" si="66"/>
        <v>-3746.07</v>
      </c>
      <c r="AQ37" s="34">
        <f t="shared" si="67"/>
        <v>-29968.560000000001</v>
      </c>
      <c r="AR37" s="34">
        <f t="shared" si="68"/>
        <v>1468459.44</v>
      </c>
      <c r="AS37" s="34">
        <f>'[12]Adjusted Amounts'!Q191</f>
        <v>0</v>
      </c>
      <c r="AT37" s="34">
        <v>0</v>
      </c>
      <c r="AU37" s="456">
        <f t="shared" si="54"/>
        <v>1468459.44</v>
      </c>
      <c r="AV37" s="111">
        <f>+'[13]Table 5B1_RSD_Orleans'!Y37+'[7]Table 5B1_RSD_Orleans'!AK37+('[8]Table 5B1_RSD_Orleans'!AK37*3)+'[9]Table 5B1_RSD_Orleans'!AK37+'[10]Table 5B1_RSD_Orleans'!AK37+'[11]Table 5B1_RSD_Orleans'!AK37</f>
        <v>1074435.9641212123</v>
      </c>
      <c r="AW37" s="111">
        <f t="shared" si="55"/>
        <v>394023.47587878769</v>
      </c>
      <c r="AX37" s="456">
        <f t="shared" si="56"/>
        <v>98505.868969696923</v>
      </c>
      <c r="AY37" s="34">
        <f t="shared" si="57"/>
        <v>2708595.44</v>
      </c>
      <c r="AZ37" s="34">
        <f t="shared" si="58"/>
        <v>171633.86896969692</v>
      </c>
      <c r="BA37" s="34">
        <f t="shared" si="59"/>
        <v>38704</v>
      </c>
      <c r="BB37" s="34">
        <f t="shared" si="60"/>
        <v>59801.868969696923</v>
      </c>
      <c r="BC37" s="146">
        <f t="shared" si="34"/>
        <v>0</v>
      </c>
    </row>
    <row r="38" spans="1:55" ht="29.25">
      <c r="A38" s="29">
        <v>385002</v>
      </c>
      <c r="B38" s="30" t="s">
        <v>67</v>
      </c>
      <c r="C38" s="56">
        <f>'[14]RSD-NO by Site'!D35</f>
        <v>493</v>
      </c>
      <c r="D38" s="32">
        <f t="shared" si="35"/>
        <v>1158447.5939013651</v>
      </c>
      <c r="E38" s="32">
        <v>746.0335616438357</v>
      </c>
      <c r="F38" s="32">
        <f t="shared" si="36"/>
        <v>367794.54589041101</v>
      </c>
      <c r="G38" s="111">
        <f t="shared" si="37"/>
        <v>1526242.139791776</v>
      </c>
      <c r="H38" s="115">
        <f>IFERROR(VLOOKUP(A38,'[4]RSD Opr + Type 5s'!$A$6:$E$77,5,FALSE),"na")</f>
        <v>5</v>
      </c>
      <c r="I38" s="111">
        <f t="shared" si="38"/>
        <v>7463.4637128582699</v>
      </c>
      <c r="J38" s="115">
        <f>+IFERROR(VLOOKUP(A38,'[4]RSD Opr + Type 5s'!$A$6:$L$77,12,FALSE),"na")</f>
        <v>58</v>
      </c>
      <c r="K38" s="111">
        <f t="shared" si="39"/>
        <v>519457.0744149356</v>
      </c>
      <c r="L38" s="115">
        <f>+IFERROR(VLOOKUP(A38,'[4]RSD Opr + Type 5s'!$A$6:$V$77,22,FALSE),"na")</f>
        <v>19</v>
      </c>
      <c r="M38" s="111">
        <f t="shared" si="40"/>
        <v>311972.78319747571</v>
      </c>
      <c r="N38" s="111">
        <f t="shared" si="41"/>
        <v>838893.32132526964</v>
      </c>
      <c r="O38" s="111">
        <f t="shared" si="42"/>
        <v>2365135.4611170455</v>
      </c>
      <c r="P38" s="111">
        <f>+IFERROR(VLOOKUP(A38,'October midyear adj'!$A$128:$K$203,11,FALSE),"na")</f>
        <v>106663.07488537527</v>
      </c>
      <c r="Q38" s="115">
        <f>+IFERROR(VLOOKUP(A38,'October midyear adj'!A116:E234,5,FALSE),"Na")</f>
        <v>25</v>
      </c>
      <c r="R38" s="111">
        <f t="shared" si="43"/>
        <v>-29267.428851309545</v>
      </c>
      <c r="S38" s="111">
        <f t="shared" si="44"/>
        <v>77395.646034065721</v>
      </c>
      <c r="T38" s="111">
        <f>IFERROR(VLOOKUP(A38,'February midyear adj '!$A$128:$K$203,11,FALSE),"na")</f>
        <v>-53331.537442687637</v>
      </c>
      <c r="U38" s="111">
        <f t="shared" si="45"/>
        <v>24064.108591378084</v>
      </c>
      <c r="V38" s="111">
        <f t="shared" si="46"/>
        <v>2389199.5697084237</v>
      </c>
      <c r="W38" s="34">
        <f t="shared" si="61"/>
        <v>-41810.992469897421</v>
      </c>
      <c r="X38" s="34">
        <f t="shared" si="62"/>
        <v>-5972.998924271059</v>
      </c>
      <c r="Y38" s="34">
        <f t="shared" si="63"/>
        <v>-47783.991394168479</v>
      </c>
      <c r="Z38" s="33">
        <f t="shared" si="64"/>
        <v>2341415.578314255</v>
      </c>
      <c r="AA38" s="34">
        <v>0</v>
      </c>
      <c r="AB38" s="34">
        <v>0</v>
      </c>
      <c r="AC38" s="111">
        <f t="shared" si="47"/>
        <v>2341416</v>
      </c>
      <c r="AD38" s="111">
        <f>+'[6]Table 5B1_RSD_Orleans'!P38+'[7]Table 5B1_RSD_Orleans'!W38+('[8]Table 5B1_RSD_Orleans'!W38*3)+'[9]Table 5B1_RSD_Orleans'!W38+'[10]Table 5B1_RSD_Orleans'!W38+'[11]Table 5B1_RSD_Orleans'!W38</f>
        <v>1424040</v>
      </c>
      <c r="AE38" s="111">
        <f t="shared" si="48"/>
        <v>917376</v>
      </c>
      <c r="AF38" s="111">
        <f t="shared" si="49"/>
        <v>229344</v>
      </c>
      <c r="AG38" s="111">
        <f t="shared" si="69"/>
        <v>2301324</v>
      </c>
      <c r="AH38" s="111">
        <v>0</v>
      </c>
      <c r="AI38" s="115">
        <f t="shared" si="50"/>
        <v>25</v>
      </c>
      <c r="AJ38" s="111">
        <f t="shared" si="51"/>
        <v>116700</v>
      </c>
      <c r="AK38" s="115">
        <f>+IFERROR(VLOOKUP(A38,'February midyear adj '!$A$85:$E$204,5,FALSE),"na")</f>
        <v>-25</v>
      </c>
      <c r="AL38" s="111">
        <f t="shared" si="70"/>
        <v>-58350</v>
      </c>
      <c r="AM38" s="111">
        <f t="shared" si="52"/>
        <v>58350</v>
      </c>
      <c r="AN38" s="33">
        <f t="shared" si="53"/>
        <v>2359674</v>
      </c>
      <c r="AO38" s="34">
        <f t="shared" si="65"/>
        <v>-41294.295000000006</v>
      </c>
      <c r="AP38" s="34">
        <f t="shared" si="66"/>
        <v>-5899.1850000000004</v>
      </c>
      <c r="AQ38" s="34">
        <f t="shared" si="67"/>
        <v>-47193.48</v>
      </c>
      <c r="AR38" s="34">
        <f t="shared" si="68"/>
        <v>2312480.52</v>
      </c>
      <c r="AS38" s="34">
        <f>'[12]Adjusted Amounts'!Q192</f>
        <v>0</v>
      </c>
      <c r="AT38" s="34">
        <v>0</v>
      </c>
      <c r="AU38" s="456">
        <f t="shared" si="54"/>
        <v>2312480.52</v>
      </c>
      <c r="AV38" s="111">
        <f>+'[13]Table 5B1_RSD_Orleans'!Y38+'[7]Table 5B1_RSD_Orleans'!AK38+('[8]Table 5B1_RSD_Orleans'!AK38*3)+'[9]Table 5B1_RSD_Orleans'!AK38+'[10]Table 5B1_RSD_Orleans'!AK38+'[11]Table 5B1_RSD_Orleans'!AK38</f>
        <v>1504820.0164848482</v>
      </c>
      <c r="AW38" s="111">
        <f t="shared" si="55"/>
        <v>807660.50351515179</v>
      </c>
      <c r="AX38" s="456">
        <f t="shared" si="56"/>
        <v>201915.12587878795</v>
      </c>
      <c r="AY38" s="34">
        <f t="shared" si="57"/>
        <v>4653896.5199999996</v>
      </c>
      <c r="AZ38" s="34">
        <f t="shared" si="58"/>
        <v>431259.12587878795</v>
      </c>
      <c r="BA38" s="34">
        <f t="shared" si="59"/>
        <v>79334</v>
      </c>
      <c r="BB38" s="34">
        <f t="shared" si="60"/>
        <v>122581.12587878795</v>
      </c>
      <c r="BC38" s="146">
        <f t="shared" si="34"/>
        <v>0</v>
      </c>
    </row>
    <row r="39" spans="1:55" ht="33" customHeight="1">
      <c r="A39" s="58">
        <v>385003</v>
      </c>
      <c r="B39" s="59" t="s">
        <v>77</v>
      </c>
      <c r="C39" s="60">
        <v>376</v>
      </c>
      <c r="D39" s="40">
        <f t="shared" si="35"/>
        <v>883521.89717426617</v>
      </c>
      <c r="E39" s="40">
        <v>746.0335616438357</v>
      </c>
      <c r="F39" s="40">
        <f t="shared" si="36"/>
        <v>280508.61917808221</v>
      </c>
      <c r="G39" s="120">
        <f t="shared" si="37"/>
        <v>1164030.5163523485</v>
      </c>
      <c r="H39" s="135">
        <f>IFERROR(VLOOKUP(A39,'[4]RSD Opr + Type 5s'!$A$6:$E$77,5,FALSE),"na")</f>
        <v>10</v>
      </c>
      <c r="I39" s="120">
        <f t="shared" si="38"/>
        <v>14926.92742571654</v>
      </c>
      <c r="J39" s="135">
        <f>+IFERROR(VLOOKUP(A39,'[4]RSD Opr + Type 5s'!$A$6:$L$77,12,FALSE),"na")</f>
        <v>10</v>
      </c>
      <c r="K39" s="120">
        <f t="shared" si="39"/>
        <v>89561.564554299242</v>
      </c>
      <c r="L39" s="135">
        <f>+IFERROR(VLOOKUP(A39,'[4]RSD Opr + Type 5s'!$A$6:$V$77,22,FALSE),"na")</f>
        <v>4</v>
      </c>
      <c r="M39" s="120">
        <f t="shared" si="40"/>
        <v>65678.480673152779</v>
      </c>
      <c r="N39" s="120">
        <f t="shared" si="41"/>
        <v>170166.97265316854</v>
      </c>
      <c r="O39" s="120">
        <f t="shared" si="42"/>
        <v>1334197.489005517</v>
      </c>
      <c r="P39" s="120">
        <f>+IFERROR(VLOOKUP(A39,'October midyear adj'!$A$128:$K$203,11,FALSE),"na")</f>
        <v>-426652.2995415011</v>
      </c>
      <c r="Q39" s="135">
        <f>+IFERROR(VLOOKUP(A39,'October midyear adj'!A117:E235,5,FALSE),"Na")</f>
        <v>-100</v>
      </c>
      <c r="R39" s="120">
        <f t="shared" si="43"/>
        <v>117069.71540523818</v>
      </c>
      <c r="S39" s="120">
        <f t="shared" si="44"/>
        <v>-309582.58413626289</v>
      </c>
      <c r="T39" s="120">
        <f>IFERROR(VLOOKUP(A39,'February midyear adj '!$A$128:$K$203,11,FALSE),"na")</f>
        <v>4266.5229954150109</v>
      </c>
      <c r="U39" s="120">
        <f t="shared" si="45"/>
        <v>-305316.06114084786</v>
      </c>
      <c r="V39" s="120">
        <f t="shared" si="46"/>
        <v>1028881.4278646691</v>
      </c>
      <c r="W39" s="42">
        <f t="shared" si="61"/>
        <v>-18005.424987631712</v>
      </c>
      <c r="X39" s="42">
        <f t="shared" si="62"/>
        <v>-2572.2035696616726</v>
      </c>
      <c r="Y39" s="42">
        <f t="shared" si="63"/>
        <v>-20577.628557293385</v>
      </c>
      <c r="Z39" s="41">
        <f t="shared" si="64"/>
        <v>1008303.7993073757</v>
      </c>
      <c r="AA39" s="42">
        <v>0</v>
      </c>
      <c r="AB39" s="42">
        <v>0</v>
      </c>
      <c r="AC39" s="120">
        <f t="shared" si="47"/>
        <v>1008304</v>
      </c>
      <c r="AD39" s="120">
        <f>+'[6]Table 5B1_RSD_Orleans'!P39+'[7]Table 5B1_RSD_Orleans'!W39+('[8]Table 5B1_RSD_Orleans'!W39*3)+'[9]Table 5B1_RSD_Orleans'!W39+'[10]Table 5B1_RSD_Orleans'!W39+'[11]Table 5B1_RSD_Orleans'!W39</f>
        <v>975521</v>
      </c>
      <c r="AE39" s="120">
        <f t="shared" si="48"/>
        <v>32783</v>
      </c>
      <c r="AF39" s="120">
        <f t="shared" si="49"/>
        <v>8195.75</v>
      </c>
      <c r="AG39" s="120">
        <f t="shared" si="69"/>
        <v>1755168</v>
      </c>
      <c r="AH39" s="120">
        <v>0</v>
      </c>
      <c r="AI39" s="135">
        <f t="shared" si="50"/>
        <v>-100</v>
      </c>
      <c r="AJ39" s="120">
        <f t="shared" si="51"/>
        <v>-466800</v>
      </c>
      <c r="AK39" s="135">
        <f>+IFERROR(VLOOKUP(A39,'February midyear adj '!$A$85:$E$204,5,FALSE),"na")</f>
        <v>2</v>
      </c>
      <c r="AL39" s="120">
        <f t="shared" si="70"/>
        <v>4668</v>
      </c>
      <c r="AM39" s="120">
        <f t="shared" si="52"/>
        <v>-462132</v>
      </c>
      <c r="AN39" s="41">
        <f t="shared" si="53"/>
        <v>1293036</v>
      </c>
      <c r="AO39" s="42">
        <f t="shared" si="65"/>
        <v>-22628.13</v>
      </c>
      <c r="AP39" s="42">
        <f t="shared" si="66"/>
        <v>-3232.59</v>
      </c>
      <c r="AQ39" s="42">
        <f t="shared" si="67"/>
        <v>-25860.720000000001</v>
      </c>
      <c r="AR39" s="42">
        <f t="shared" si="68"/>
        <v>1267175.28</v>
      </c>
      <c r="AS39" s="42">
        <v>0</v>
      </c>
      <c r="AT39" s="42">
        <v>0</v>
      </c>
      <c r="AU39" s="457">
        <f t="shared" si="54"/>
        <v>1267175.28</v>
      </c>
      <c r="AV39" s="120">
        <f>+'[13]Table 5B1_RSD_Orleans'!Y39+'[7]Table 5B1_RSD_Orleans'!AK39+('[8]Table 5B1_RSD_Orleans'!AK39*3)+'[9]Table 5B1_RSD_Orleans'!AK39+'[10]Table 5B1_RSD_Orleans'!AK39+'[11]Table 5B1_RSD_Orleans'!AK39</f>
        <v>1098635.7881212123</v>
      </c>
      <c r="AW39" s="120">
        <f t="shared" si="55"/>
        <v>168539.49187878775</v>
      </c>
      <c r="AX39" s="457">
        <f t="shared" si="56"/>
        <v>42134.872969696939</v>
      </c>
      <c r="AY39" s="42">
        <f t="shared" si="57"/>
        <v>2275479.2800000003</v>
      </c>
      <c r="AZ39" s="42">
        <f t="shared" si="58"/>
        <v>50330.622969696939</v>
      </c>
      <c r="BA39" s="42">
        <f t="shared" si="59"/>
        <v>16555</v>
      </c>
      <c r="BB39" s="42">
        <f t="shared" si="60"/>
        <v>25579.872969696939</v>
      </c>
      <c r="BC39" s="146">
        <f t="shared" si="34"/>
        <v>0</v>
      </c>
    </row>
    <row r="40" spans="1:55" ht="30.75" customHeight="1">
      <c r="A40" s="51">
        <v>388001</v>
      </c>
      <c r="B40" s="52" t="s">
        <v>78</v>
      </c>
      <c r="C40" s="24">
        <f>'[14]RSD-NO by Site'!D36</f>
        <v>608</v>
      </c>
      <c r="D40" s="25">
        <f t="shared" si="35"/>
        <v>1428673.7060690261</v>
      </c>
      <c r="E40" s="25">
        <v>708.2132751810401</v>
      </c>
      <c r="F40" s="25">
        <f t="shared" si="36"/>
        <v>430593.67131007236</v>
      </c>
      <c r="G40" s="121">
        <f t="shared" si="37"/>
        <v>1859267.3773790984</v>
      </c>
      <c r="H40" s="134">
        <f>IFERROR(VLOOKUP(A40,'[4]RSD Opr + Type 5s'!$A$6:$E$77,5,FALSE),"na")</f>
        <v>16</v>
      </c>
      <c r="I40" s="121">
        <f t="shared" si="38"/>
        <v>23883.083881146464</v>
      </c>
      <c r="J40" s="134">
        <f>+IFERROR(VLOOKUP(A40,'[4]RSD Opr + Type 5s'!$A$6:$L$77,12,FALSE),"na")</f>
        <v>48</v>
      </c>
      <c r="K40" s="121">
        <f t="shared" si="39"/>
        <v>429895.50986063632</v>
      </c>
      <c r="L40" s="134">
        <f>+IFERROR(VLOOKUP(A40,'[4]RSD Opr + Type 5s'!$A$6:$V$77,22,FALSE),"na")</f>
        <v>7</v>
      </c>
      <c r="M40" s="121">
        <f t="shared" si="40"/>
        <v>114937.34117801736</v>
      </c>
      <c r="N40" s="121">
        <f t="shared" si="41"/>
        <v>568715.93491980014</v>
      </c>
      <c r="O40" s="121">
        <f t="shared" si="42"/>
        <v>2427983.3122988986</v>
      </c>
      <c r="P40" s="121">
        <f>+IFERROR(VLOOKUP(A40,'October midyear adj'!$A$128:$K$203,11,FALSE),"na")</f>
        <v>-50744.43250742658</v>
      </c>
      <c r="Q40" s="134">
        <f>+IFERROR(VLOOKUP(A40,'October midyear adj'!A118:E236,5,FALSE),"Na")</f>
        <v>-12</v>
      </c>
      <c r="R40" s="121">
        <f t="shared" si="43"/>
        <v>14048.365848628582</v>
      </c>
      <c r="S40" s="121">
        <f t="shared" si="44"/>
        <v>-36696.066658797994</v>
      </c>
      <c r="T40" s="121">
        <f>IFERROR(VLOOKUP(A40,'February midyear adj '!$A$128:$K$203,11,FALSE),"na")</f>
        <v>6343.0540634283225</v>
      </c>
      <c r="U40" s="121">
        <f t="shared" si="45"/>
        <v>-30353.01259536967</v>
      </c>
      <c r="V40" s="121">
        <f t="shared" si="46"/>
        <v>2397630.2997035291</v>
      </c>
      <c r="W40" s="27">
        <f t="shared" si="61"/>
        <v>-41958.530244811765</v>
      </c>
      <c r="X40" s="27">
        <f t="shared" si="62"/>
        <v>-5994.0757492588227</v>
      </c>
      <c r="Y40" s="27">
        <f t="shared" si="63"/>
        <v>-47952.605994070589</v>
      </c>
      <c r="Z40" s="26">
        <f t="shared" si="64"/>
        <v>2349677.6937094587</v>
      </c>
      <c r="AA40" s="27">
        <f>'[5]Adjusted Amounts'!I193</f>
        <v>3960.2403711526622</v>
      </c>
      <c r="AB40" s="27">
        <v>0</v>
      </c>
      <c r="AC40" s="121">
        <f t="shared" si="47"/>
        <v>2353638</v>
      </c>
      <c r="AD40" s="445">
        <f>+'[6]Table 5B1_RSD_Orleans'!P40+'[7]Table 5B1_RSD_Orleans'!W40+('[8]Table 5B1_RSD_Orleans'!W40*3)+'[9]Table 5B1_RSD_Orleans'!W40+'[10]Table 5B1_RSD_Orleans'!W40+'[11]Table 5B1_RSD_Orleans'!W40</f>
        <v>1710264</v>
      </c>
      <c r="AE40" s="445">
        <f t="shared" si="48"/>
        <v>643374</v>
      </c>
      <c r="AF40" s="445">
        <f t="shared" si="49"/>
        <v>160843.5</v>
      </c>
      <c r="AG40" s="121">
        <f t="shared" si="69"/>
        <v>2838144</v>
      </c>
      <c r="AH40" s="121">
        <v>0</v>
      </c>
      <c r="AI40" s="134">
        <f t="shared" si="50"/>
        <v>-12</v>
      </c>
      <c r="AJ40" s="121">
        <f t="shared" si="51"/>
        <v>-56016</v>
      </c>
      <c r="AK40" s="134">
        <f>+IFERROR(VLOOKUP(A40,'February midyear adj '!$A$85:$E$204,5,FALSE),"na")</f>
        <v>3</v>
      </c>
      <c r="AL40" s="121">
        <f t="shared" si="70"/>
        <v>7002</v>
      </c>
      <c r="AM40" s="121">
        <f t="shared" si="52"/>
        <v>-49014</v>
      </c>
      <c r="AN40" s="26">
        <f t="shared" si="53"/>
        <v>2789130</v>
      </c>
      <c r="AO40" s="27">
        <f t="shared" si="65"/>
        <v>-48809.775000000001</v>
      </c>
      <c r="AP40" s="27">
        <f t="shared" si="66"/>
        <v>-6972.8249999999998</v>
      </c>
      <c r="AQ40" s="27">
        <f t="shared" si="67"/>
        <v>-55782.6</v>
      </c>
      <c r="AR40" s="27">
        <f t="shared" si="68"/>
        <v>2733347.4</v>
      </c>
      <c r="AS40" s="27">
        <f>'[12]Adjusted Amounts'!Q193</f>
        <v>4203</v>
      </c>
      <c r="AT40" s="27">
        <v>0</v>
      </c>
      <c r="AU40" s="455">
        <f t="shared" si="54"/>
        <v>2737550.4</v>
      </c>
      <c r="AV40" s="445">
        <f>+'[13]Table 5B1_RSD_Orleans'!Y40+'[7]Table 5B1_RSD_Orleans'!AK40+('[8]Table 5B1_RSD_Orleans'!AK40*3)+'[9]Table 5B1_RSD_Orleans'!AK40+'[10]Table 5B1_RSD_Orleans'!AK40+'[11]Table 5B1_RSD_Orleans'!AK40</f>
        <v>1858644.5004242423</v>
      </c>
      <c r="AW40" s="445">
        <f t="shared" si="55"/>
        <v>878905.89957575756</v>
      </c>
      <c r="AX40" s="461">
        <f t="shared" si="56"/>
        <v>219726.47489393939</v>
      </c>
      <c r="AY40" s="27">
        <f t="shared" si="57"/>
        <v>5091188.4000000004</v>
      </c>
      <c r="AZ40" s="27">
        <f t="shared" si="58"/>
        <v>380569.97489393939</v>
      </c>
      <c r="BA40" s="27">
        <f t="shared" si="59"/>
        <v>86332</v>
      </c>
      <c r="BB40" s="27">
        <f t="shared" si="60"/>
        <v>133394.47489393939</v>
      </c>
      <c r="BC40" s="146">
        <f t="shared" si="34"/>
        <v>0</v>
      </c>
    </row>
    <row r="41" spans="1:55" ht="47.25" customHeight="1">
      <c r="A41" s="35">
        <v>390001</v>
      </c>
      <c r="B41" s="36" t="s">
        <v>25</v>
      </c>
      <c r="C41" s="31">
        <f>'[14]RSD-NO by Site'!D37</f>
        <v>596</v>
      </c>
      <c r="D41" s="32">
        <f t="shared" si="35"/>
        <v>1400476.1987124006</v>
      </c>
      <c r="E41" s="32">
        <v>650.55234865477053</v>
      </c>
      <c r="F41" s="32">
        <f t="shared" si="36"/>
        <v>387729.19979824324</v>
      </c>
      <c r="G41" s="111">
        <f t="shared" si="37"/>
        <v>1788205.3985106437</v>
      </c>
      <c r="H41" s="115">
        <f>IFERROR(VLOOKUP(A41,'[4]RSD Opr + Type 5s'!$A$6:$E$77,5,FALSE),"na")</f>
        <v>12</v>
      </c>
      <c r="I41" s="111">
        <f t="shared" si="38"/>
        <v>17912.312910859848</v>
      </c>
      <c r="J41" s="115">
        <f>+IFERROR(VLOOKUP(A41,'[4]RSD Opr + Type 5s'!$A$6:$L$77,12,FALSE),"na")</f>
        <v>29</v>
      </c>
      <c r="K41" s="111">
        <f t="shared" si="39"/>
        <v>259728.5372074678</v>
      </c>
      <c r="L41" s="115">
        <f>+IFERROR(VLOOKUP(A41,'[4]RSD Opr + Type 5s'!$A$6:$V$77,22,FALSE),"na")</f>
        <v>2</v>
      </c>
      <c r="M41" s="111">
        <f t="shared" si="40"/>
        <v>32839.240336576389</v>
      </c>
      <c r="N41" s="111">
        <f t="shared" si="41"/>
        <v>310480.09045490401</v>
      </c>
      <c r="O41" s="111">
        <f t="shared" si="42"/>
        <v>2098685.4889655476</v>
      </c>
      <c r="P41" s="111">
        <f>+IFERROR(VLOOKUP(A41,'October midyear adj'!$A$128:$K$203,11,FALSE),"na")</f>
        <v>-271117.71585768647</v>
      </c>
      <c r="Q41" s="115">
        <f>+IFERROR(VLOOKUP(A41,'October midyear adj'!A119:E237,5,FALSE),"Na")</f>
        <v>-65</v>
      </c>
      <c r="R41" s="111">
        <f t="shared" si="43"/>
        <v>76095.315013404819</v>
      </c>
      <c r="S41" s="111">
        <f t="shared" si="44"/>
        <v>-195022.40084428166</v>
      </c>
      <c r="T41" s="111">
        <f>IFERROR(VLOOKUP(A41,'February midyear adj '!$A$128:$K$203,11,FALSE),"na")</f>
        <v>-41710.417824259457</v>
      </c>
      <c r="U41" s="111">
        <f t="shared" si="45"/>
        <v>-236732.81866854112</v>
      </c>
      <c r="V41" s="111">
        <f t="shared" si="46"/>
        <v>1861952.6702970066</v>
      </c>
      <c r="W41" s="34">
        <f t="shared" si="61"/>
        <v>-32584.17173019762</v>
      </c>
      <c r="X41" s="34">
        <f t="shared" si="62"/>
        <v>-4654.8816757425166</v>
      </c>
      <c r="Y41" s="34">
        <f t="shared" si="63"/>
        <v>-37239.05340594014</v>
      </c>
      <c r="Z41" s="33">
        <f t="shared" si="64"/>
        <v>1824713.6168910665</v>
      </c>
      <c r="AA41" s="34">
        <f>'[5]Adjusted Amounts'!I195</f>
        <v>0</v>
      </c>
      <c r="AB41" s="34">
        <v>0</v>
      </c>
      <c r="AC41" s="111">
        <f t="shared" si="47"/>
        <v>1824714</v>
      </c>
      <c r="AD41" s="111">
        <f>+'[6]Table 5B1_RSD_Orleans'!P41+'[7]Table 5B1_RSD_Orleans'!W41+('[8]Table 5B1_RSD_Orleans'!W41*3)+'[9]Table 5B1_RSD_Orleans'!W41+'[10]Table 5B1_RSD_Orleans'!W41+'[11]Table 5B1_RSD_Orleans'!W41</f>
        <v>1363167</v>
      </c>
      <c r="AE41" s="111">
        <f t="shared" si="48"/>
        <v>461547</v>
      </c>
      <c r="AF41" s="111">
        <f t="shared" si="49"/>
        <v>115386.75</v>
      </c>
      <c r="AG41" s="111">
        <v>0</v>
      </c>
      <c r="AH41" s="111">
        <f>C41*$AH$5</f>
        <v>3238068</v>
      </c>
      <c r="AI41" s="115">
        <f t="shared" si="50"/>
        <v>-65</v>
      </c>
      <c r="AJ41" s="111">
        <f>AI41*$AH$5</f>
        <v>-353145</v>
      </c>
      <c r="AK41" s="115">
        <f>+IFERROR(VLOOKUP(A41,'February midyear adj '!$A$85:$E$204,5,FALSE),"na")</f>
        <v>-20</v>
      </c>
      <c r="AL41" s="111">
        <f>AK41*$AH$5*0.5</f>
        <v>-54330</v>
      </c>
      <c r="AM41" s="111">
        <f t="shared" si="52"/>
        <v>-407475</v>
      </c>
      <c r="AN41" s="33">
        <f t="shared" si="53"/>
        <v>2830593</v>
      </c>
      <c r="AO41" s="34">
        <f t="shared" si="65"/>
        <v>-49535.377500000002</v>
      </c>
      <c r="AP41" s="34">
        <f t="shared" si="66"/>
        <v>-7076.4825000000001</v>
      </c>
      <c r="AQ41" s="34">
        <f t="shared" si="67"/>
        <v>-56611.86</v>
      </c>
      <c r="AR41" s="34">
        <f t="shared" si="68"/>
        <v>2773981.14</v>
      </c>
      <c r="AS41" s="34">
        <f>'[12]Adjusted Amounts'!Q194</f>
        <v>0</v>
      </c>
      <c r="AT41" s="34">
        <v>0</v>
      </c>
      <c r="AU41" s="456">
        <f t="shared" si="54"/>
        <v>2773981.14</v>
      </c>
      <c r="AV41" s="111">
        <f>+'[13]Table 5B1_RSD_Orleans'!Y41+'[7]Table 5B1_RSD_Orleans'!AK41+('[8]Table 5B1_RSD_Orleans'!AK41*3)+'[9]Table 5B1_RSD_Orleans'!AK41+'[10]Table 5B1_RSD_Orleans'!AK41+'[11]Table 5B1_RSD_Orleans'!AK41</f>
        <v>1970113.0455757577</v>
      </c>
      <c r="AW41" s="111">
        <f t="shared" si="55"/>
        <v>803868.09442424239</v>
      </c>
      <c r="AX41" s="456">
        <f t="shared" si="56"/>
        <v>200967.0236060606</v>
      </c>
      <c r="AY41" s="34">
        <f t="shared" si="57"/>
        <v>4598695.1400000006</v>
      </c>
      <c r="AZ41" s="34">
        <f t="shared" si="58"/>
        <v>316353.7736060606</v>
      </c>
      <c r="BA41" s="34">
        <f t="shared" si="59"/>
        <v>78961</v>
      </c>
      <c r="BB41" s="34">
        <f t="shared" si="60"/>
        <v>122006.0236060606</v>
      </c>
      <c r="BC41" s="146">
        <f t="shared" si="34"/>
        <v>0</v>
      </c>
    </row>
    <row r="42" spans="1:55" ht="30.75" customHeight="1">
      <c r="A42" s="35">
        <v>391001</v>
      </c>
      <c r="B42" s="36" t="s">
        <v>26</v>
      </c>
      <c r="C42" s="31">
        <f>'[14]RSD-NO by Site'!D38</f>
        <v>694</v>
      </c>
      <c r="D42" s="32">
        <f t="shared" si="35"/>
        <v>1630755.8421248423</v>
      </c>
      <c r="E42" s="32">
        <v>721.28337970262919</v>
      </c>
      <c r="F42" s="32">
        <f t="shared" ref="F42:F66" si="71">E42*C42</f>
        <v>500570.66551362467</v>
      </c>
      <c r="G42" s="111">
        <f t="shared" si="37"/>
        <v>2131326.507638467</v>
      </c>
      <c r="H42" s="115">
        <f>IFERROR(VLOOKUP(A42,'[4]RSD Opr + Type 5s'!$A$6:$E$77,5,FALSE),"na")</f>
        <v>22</v>
      </c>
      <c r="I42" s="111">
        <f t="shared" si="38"/>
        <v>32839.240336576389</v>
      </c>
      <c r="J42" s="115">
        <f>+IFERROR(VLOOKUP(A42,'[4]RSD Opr + Type 5s'!$A$6:$L$77,12,FALSE),"na")</f>
        <v>36</v>
      </c>
      <c r="K42" s="111">
        <f t="shared" si="39"/>
        <v>322421.63239547727</v>
      </c>
      <c r="L42" s="115">
        <f>+IFERROR(VLOOKUP(A42,'[4]RSD Opr + Type 5s'!$A$6:$V$77,22,FALSE),"na")</f>
        <v>2</v>
      </c>
      <c r="M42" s="111">
        <f t="shared" si="40"/>
        <v>32839.240336576389</v>
      </c>
      <c r="N42" s="111">
        <f t="shared" si="41"/>
        <v>388100.11306862999</v>
      </c>
      <c r="O42" s="111">
        <f t="shared" si="42"/>
        <v>2519426.620707097</v>
      </c>
      <c r="P42" s="111">
        <f>+IFERROR(VLOOKUP(A42,'October midyear adj'!$A$128:$K$203,11,FALSE),"na")</f>
        <v>123011.41159074033</v>
      </c>
      <c r="Q42" s="115">
        <f>+IFERROR(VLOOKUP(A42,'October midyear adj'!A120:E238,5,FALSE),"Na")</f>
        <v>29</v>
      </c>
      <c r="R42" s="111">
        <f t="shared" si="43"/>
        <v>-33950.217467519076</v>
      </c>
      <c r="S42" s="111">
        <f t="shared" si="44"/>
        <v>89061.194123221256</v>
      </c>
      <c r="T42" s="111">
        <f>IFERROR(VLOOKUP(A42,'February midyear adj '!$A$128:$K$203,11,FALSE),"na")</f>
        <v>31813.296101053533</v>
      </c>
      <c r="U42" s="111">
        <f t="shared" si="45"/>
        <v>120874.49022427479</v>
      </c>
      <c r="V42" s="111">
        <f t="shared" si="46"/>
        <v>2640301.1109313718</v>
      </c>
      <c r="W42" s="34">
        <f t="shared" si="61"/>
        <v>-46205.269441299009</v>
      </c>
      <c r="X42" s="34">
        <f t="shared" si="62"/>
        <v>-6600.7527773284301</v>
      </c>
      <c r="Y42" s="34">
        <f t="shared" si="63"/>
        <v>-52806.02221862744</v>
      </c>
      <c r="Z42" s="33">
        <f t="shared" si="64"/>
        <v>2587495.0887127444</v>
      </c>
      <c r="AA42" s="34">
        <v>0</v>
      </c>
      <c r="AB42" s="34">
        <v>0</v>
      </c>
      <c r="AC42" s="111">
        <f t="shared" si="47"/>
        <v>2587495</v>
      </c>
      <c r="AD42" s="111">
        <f>+'[6]Table 5B1_RSD_Orleans'!P42+'[7]Table 5B1_RSD_Orleans'!W42+('[8]Table 5B1_RSD_Orleans'!W42*3)+'[9]Table 5B1_RSD_Orleans'!W42+'[10]Table 5B1_RSD_Orleans'!W42+'[11]Table 5B1_RSD_Orleans'!W42</f>
        <v>1783104</v>
      </c>
      <c r="AE42" s="111">
        <f t="shared" si="48"/>
        <v>804391</v>
      </c>
      <c r="AF42" s="111">
        <f t="shared" si="49"/>
        <v>201097.75</v>
      </c>
      <c r="AG42" s="111">
        <f t="shared" ref="AG42:AG66" si="72">C42*$AG$5</f>
        <v>3239592</v>
      </c>
      <c r="AH42" s="111">
        <v>0</v>
      </c>
      <c r="AI42" s="115">
        <f t="shared" ref="AI42:AI66" si="73">Q42</f>
        <v>29</v>
      </c>
      <c r="AJ42" s="111">
        <f t="shared" si="51"/>
        <v>135372</v>
      </c>
      <c r="AK42" s="115">
        <f>+IFERROR(VLOOKUP(A42,'February midyear adj '!$A$85:$E$204,5,FALSE),"na")</f>
        <v>15</v>
      </c>
      <c r="AL42" s="111">
        <f t="shared" ref="AL42:AL66" si="74">AK42*$AG$5*0.5</f>
        <v>35010</v>
      </c>
      <c r="AM42" s="111">
        <f t="shared" si="52"/>
        <v>170382</v>
      </c>
      <c r="AN42" s="33">
        <f t="shared" si="53"/>
        <v>3409974</v>
      </c>
      <c r="AO42" s="34">
        <f t="shared" si="65"/>
        <v>-59674.545000000006</v>
      </c>
      <c r="AP42" s="34">
        <f t="shared" si="66"/>
        <v>-8524.9349999999995</v>
      </c>
      <c r="AQ42" s="34">
        <f t="shared" si="67"/>
        <v>-68199.48000000001</v>
      </c>
      <c r="AR42" s="34">
        <f t="shared" si="68"/>
        <v>3341774.52</v>
      </c>
      <c r="AS42" s="34">
        <f>'[12]Adjusted Amounts'!Q195</f>
        <v>0</v>
      </c>
      <c r="AT42" s="34">
        <v>0</v>
      </c>
      <c r="AU42" s="456">
        <f t="shared" si="54"/>
        <v>3341774.52</v>
      </c>
      <c r="AV42" s="111">
        <f>+'[13]Table 5B1_RSD_Orleans'!Y42+'[7]Table 5B1_RSD_Orleans'!AK42+('[8]Table 5B1_RSD_Orleans'!AK42*3)+'[9]Table 5B1_RSD_Orleans'!AK42+'[10]Table 5B1_RSD_Orleans'!AK42+'[11]Table 5B1_RSD_Orleans'!AK42</f>
        <v>2118347.5924848486</v>
      </c>
      <c r="AW42" s="111">
        <f t="shared" si="55"/>
        <v>1223426.9275151514</v>
      </c>
      <c r="AX42" s="456">
        <f t="shared" si="56"/>
        <v>305856.73187878786</v>
      </c>
      <c r="AY42" s="34">
        <f t="shared" ref="AY42:AY66" si="75">AC42+AU42</f>
        <v>5929269.5199999996</v>
      </c>
      <c r="AZ42" s="34">
        <f t="shared" si="58"/>
        <v>506954.48187878786</v>
      </c>
      <c r="BA42" s="34">
        <f t="shared" si="59"/>
        <v>120173</v>
      </c>
      <c r="BB42" s="34">
        <f t="shared" si="60"/>
        <v>185683.73187878786</v>
      </c>
      <c r="BC42" s="146">
        <f t="shared" si="34"/>
        <v>0</v>
      </c>
    </row>
    <row r="43" spans="1:55" ht="30.75" customHeight="1">
      <c r="A43" s="29">
        <v>391002</v>
      </c>
      <c r="B43" s="30" t="s">
        <v>79</v>
      </c>
      <c r="C43" s="56">
        <f>'[14]RSD-NO by Site'!D39</f>
        <v>347</v>
      </c>
      <c r="D43" s="32">
        <f t="shared" si="35"/>
        <v>815377.92106242117</v>
      </c>
      <c r="E43" s="32">
        <v>746.0335616438357</v>
      </c>
      <c r="F43" s="32">
        <f t="shared" si="71"/>
        <v>258873.64589041099</v>
      </c>
      <c r="G43" s="111">
        <f t="shared" si="37"/>
        <v>1074251.566952832</v>
      </c>
      <c r="H43" s="115">
        <f>IFERROR(VLOOKUP(A43,'[4]RSD Opr + Type 5s'!$A$6:$E$77,5,FALSE),"na")</f>
        <v>6</v>
      </c>
      <c r="I43" s="111">
        <f t="shared" si="38"/>
        <v>8956.1564554299239</v>
      </c>
      <c r="J43" s="115">
        <f>+IFERROR(VLOOKUP(A43,'[4]RSD Opr + Type 5s'!$A$6:$L$77,12,FALSE),"na")</f>
        <v>38</v>
      </c>
      <c r="K43" s="111">
        <f t="shared" si="39"/>
        <v>340333.94530633709</v>
      </c>
      <c r="L43" s="115">
        <f>+IFERROR(VLOOKUP(A43,'[4]RSD Opr + Type 5s'!$A$6:$V$77,22,FALSE),"na")</f>
        <v>10</v>
      </c>
      <c r="M43" s="111">
        <f t="shared" si="40"/>
        <v>164196.20168288195</v>
      </c>
      <c r="N43" s="111">
        <f t="shared" si="41"/>
        <v>513486.30344464898</v>
      </c>
      <c r="O43" s="111">
        <f t="shared" si="42"/>
        <v>1587737.8703974811</v>
      </c>
      <c r="P43" s="111">
        <f>+IFERROR(VLOOKUP(A43,'October midyear adj'!$A$128:$K$203,11,FALSE),"na")</f>
        <v>93863.505899130236</v>
      </c>
      <c r="Q43" s="115">
        <f>+IFERROR(VLOOKUP(A43,'October midyear adj'!A121:E239,5,FALSE),"Na")</f>
        <v>22</v>
      </c>
      <c r="R43" s="111">
        <f t="shared" si="43"/>
        <v>-25755.337389152402</v>
      </c>
      <c r="S43" s="111">
        <f t="shared" si="44"/>
        <v>68108.168509977841</v>
      </c>
      <c r="T43" s="111">
        <f>IFERROR(VLOOKUP(A43,'February midyear adj '!$A$128:$K$203,11,FALSE),"na")</f>
        <v>17066.091981660044</v>
      </c>
      <c r="U43" s="111">
        <f t="shared" si="45"/>
        <v>85174.260491637891</v>
      </c>
      <c r="V43" s="111">
        <f t="shared" si="46"/>
        <v>1672912.1308891191</v>
      </c>
      <c r="W43" s="34">
        <f t="shared" si="61"/>
        <v>-29275.962290559586</v>
      </c>
      <c r="X43" s="34">
        <f t="shared" si="62"/>
        <v>-4182.2803272227975</v>
      </c>
      <c r="Y43" s="34">
        <f t="shared" si="63"/>
        <v>-33458.24261778238</v>
      </c>
      <c r="Z43" s="33">
        <f t="shared" si="64"/>
        <v>1639453.8882713367</v>
      </c>
      <c r="AA43" s="34">
        <v>0</v>
      </c>
      <c r="AB43" s="34">
        <v>0</v>
      </c>
      <c r="AC43" s="111">
        <f t="shared" si="47"/>
        <v>1639454</v>
      </c>
      <c r="AD43" s="111">
        <f>+'[6]Table 5B1_RSD_Orleans'!P43+'[7]Table 5B1_RSD_Orleans'!W43+('[8]Table 5B1_RSD_Orleans'!W43*3)+'[9]Table 5B1_RSD_Orleans'!W43+'[10]Table 5B1_RSD_Orleans'!W43+'[11]Table 5B1_RSD_Orleans'!W43</f>
        <v>1003104</v>
      </c>
      <c r="AE43" s="111">
        <f t="shared" si="48"/>
        <v>636350</v>
      </c>
      <c r="AF43" s="111">
        <f t="shared" si="49"/>
        <v>159087.5</v>
      </c>
      <c r="AG43" s="111">
        <f t="shared" si="72"/>
        <v>1619796</v>
      </c>
      <c r="AH43" s="111">
        <v>0</v>
      </c>
      <c r="AI43" s="115">
        <f t="shared" si="73"/>
        <v>22</v>
      </c>
      <c r="AJ43" s="111">
        <f t="shared" si="51"/>
        <v>102696</v>
      </c>
      <c r="AK43" s="115">
        <f>+IFERROR(VLOOKUP(A43,'February midyear adj '!$A$85:$E$204,5,FALSE),"na")</f>
        <v>8</v>
      </c>
      <c r="AL43" s="111">
        <f t="shared" si="74"/>
        <v>18672</v>
      </c>
      <c r="AM43" s="111">
        <f t="shared" si="52"/>
        <v>121368</v>
      </c>
      <c r="AN43" s="33">
        <f t="shared" si="53"/>
        <v>1741164</v>
      </c>
      <c r="AO43" s="34">
        <f t="shared" si="65"/>
        <v>-30470.370000000003</v>
      </c>
      <c r="AP43" s="34">
        <f t="shared" si="66"/>
        <v>-4352.91</v>
      </c>
      <c r="AQ43" s="34">
        <f t="shared" si="67"/>
        <v>-34823.279999999999</v>
      </c>
      <c r="AR43" s="34">
        <f t="shared" si="68"/>
        <v>1706340.72</v>
      </c>
      <c r="AS43" s="34">
        <f>'[12]Adjusted Amounts'!Q196</f>
        <v>0</v>
      </c>
      <c r="AT43" s="34">
        <v>0</v>
      </c>
      <c r="AU43" s="456">
        <f t="shared" si="54"/>
        <v>1706340.72</v>
      </c>
      <c r="AV43" s="111">
        <f>+'[13]Table 5B1_RSD_Orleans'!Y43+'[7]Table 5B1_RSD_Orleans'!AK43+('[8]Table 5B1_RSD_Orleans'!AK43*3)+'[9]Table 5B1_RSD_Orleans'!AK43+'[10]Table 5B1_RSD_Orleans'!AK43+'[11]Table 5B1_RSD_Orleans'!AK43</f>
        <v>1059173.1507878788</v>
      </c>
      <c r="AW43" s="111">
        <f t="shared" si="55"/>
        <v>647167.56921212119</v>
      </c>
      <c r="AX43" s="456">
        <f t="shared" si="56"/>
        <v>161791.8923030303</v>
      </c>
      <c r="AY43" s="34">
        <f t="shared" si="75"/>
        <v>3345794.7199999997</v>
      </c>
      <c r="AZ43" s="34">
        <f t="shared" si="58"/>
        <v>320879.3923030303</v>
      </c>
      <c r="BA43" s="34">
        <f t="shared" si="59"/>
        <v>63569</v>
      </c>
      <c r="BB43" s="34">
        <f t="shared" si="60"/>
        <v>98222.892303030298</v>
      </c>
      <c r="BC43" s="146">
        <f t="shared" si="34"/>
        <v>0</v>
      </c>
    </row>
    <row r="44" spans="1:55" s="61" customFormat="1" ht="30.75" customHeight="1">
      <c r="A44" s="48">
        <v>392001</v>
      </c>
      <c r="B44" s="49" t="s">
        <v>27</v>
      </c>
      <c r="C44" s="50">
        <f>'[14]RSD-NO by Site'!D40</f>
        <v>425</v>
      </c>
      <c r="D44" s="40">
        <f t="shared" si="35"/>
        <v>998661.71888048702</v>
      </c>
      <c r="E44" s="40">
        <v>600.21655982905986</v>
      </c>
      <c r="F44" s="40">
        <f t="shared" si="71"/>
        <v>255092.03792735044</v>
      </c>
      <c r="G44" s="120">
        <f t="shared" si="37"/>
        <v>1253753.7568078374</v>
      </c>
      <c r="H44" s="135">
        <f>IFERROR(VLOOKUP(A44,'[4]RSD Opr + Type 5s'!$A$6:$E$77,5,FALSE),"na")</f>
        <v>6</v>
      </c>
      <c r="I44" s="120">
        <f t="shared" si="38"/>
        <v>8956.1564554299239</v>
      </c>
      <c r="J44" s="135">
        <f>+IFERROR(VLOOKUP(A44,'[4]RSD Opr + Type 5s'!$A$6:$L$77,12,FALSE),"na")</f>
        <v>24</v>
      </c>
      <c r="K44" s="120">
        <f t="shared" si="39"/>
        <v>214947.75493031816</v>
      </c>
      <c r="L44" s="135">
        <f>+IFERROR(VLOOKUP(A44,'[4]RSD Opr + Type 5s'!$A$6:$V$77,22,FALSE),"na")</f>
        <v>7</v>
      </c>
      <c r="M44" s="120">
        <f t="shared" si="40"/>
        <v>114937.34117801736</v>
      </c>
      <c r="N44" s="120">
        <f t="shared" si="41"/>
        <v>338841.25256376545</v>
      </c>
      <c r="O44" s="120">
        <f t="shared" si="42"/>
        <v>1592595.0093716029</v>
      </c>
      <c r="P44" s="120">
        <f>+IFERROR(VLOOKUP(A44,'October midyear adj'!$A$128:$K$203,11,FALSE),"na")</f>
        <v>90655.531859205177</v>
      </c>
      <c r="Q44" s="135">
        <f>+IFERROR(VLOOKUP(A44,'October midyear adj'!A122:E240,5,FALSE),"Na")</f>
        <v>22</v>
      </c>
      <c r="R44" s="120">
        <f t="shared" si="43"/>
        <v>-25755.337389152402</v>
      </c>
      <c r="S44" s="120">
        <f t="shared" si="44"/>
        <v>64900.194470052775</v>
      </c>
      <c r="T44" s="120">
        <f>IFERROR(VLOOKUP(A44,'February midyear adj '!$A$128:$K$203,11,FALSE),"na")</f>
        <v>4120.7059936002352</v>
      </c>
      <c r="U44" s="120">
        <f t="shared" si="45"/>
        <v>69020.900463653015</v>
      </c>
      <c r="V44" s="120">
        <f t="shared" si="46"/>
        <v>1661615.9098352559</v>
      </c>
      <c r="W44" s="42">
        <f t="shared" si="61"/>
        <v>-29078.278422116982</v>
      </c>
      <c r="X44" s="42">
        <f t="shared" si="62"/>
        <v>-4154.0397745881401</v>
      </c>
      <c r="Y44" s="42">
        <f t="shared" si="63"/>
        <v>-33232.31819670512</v>
      </c>
      <c r="Z44" s="41">
        <f t="shared" si="64"/>
        <v>1628383.5916385509</v>
      </c>
      <c r="AA44" s="42">
        <f>'[5]Adjusted Amounts'!I197</f>
        <v>-13026.842935677982</v>
      </c>
      <c r="AB44" s="42">
        <v>0</v>
      </c>
      <c r="AC44" s="120">
        <f t="shared" si="47"/>
        <v>1615357</v>
      </c>
      <c r="AD44" s="120">
        <f>+'[6]Table 5B1_RSD_Orleans'!P44+'[7]Table 5B1_RSD_Orleans'!W44+('[8]Table 5B1_RSD_Orleans'!W44*3)+'[9]Table 5B1_RSD_Orleans'!W44+'[10]Table 5B1_RSD_Orleans'!W44+'[11]Table 5B1_RSD_Orleans'!W44</f>
        <v>1008822</v>
      </c>
      <c r="AE44" s="120">
        <f t="shared" si="48"/>
        <v>606535</v>
      </c>
      <c r="AF44" s="120">
        <f t="shared" si="49"/>
        <v>151633.75</v>
      </c>
      <c r="AG44" s="120">
        <f t="shared" si="72"/>
        <v>1983900</v>
      </c>
      <c r="AH44" s="120">
        <v>0</v>
      </c>
      <c r="AI44" s="135">
        <f t="shared" si="73"/>
        <v>22</v>
      </c>
      <c r="AJ44" s="120">
        <f t="shared" si="51"/>
        <v>102696</v>
      </c>
      <c r="AK44" s="135">
        <f>+IFERROR(VLOOKUP(A44,'February midyear adj '!$A$85:$E$204,5,FALSE),"na")</f>
        <v>2</v>
      </c>
      <c r="AL44" s="120">
        <f t="shared" si="74"/>
        <v>4668</v>
      </c>
      <c r="AM44" s="120">
        <f t="shared" si="52"/>
        <v>107364</v>
      </c>
      <c r="AN44" s="41">
        <f t="shared" si="53"/>
        <v>2091264</v>
      </c>
      <c r="AO44" s="42">
        <f t="shared" si="65"/>
        <v>-36597.120000000003</v>
      </c>
      <c r="AP44" s="42">
        <f t="shared" si="66"/>
        <v>-5228.16</v>
      </c>
      <c r="AQ44" s="42">
        <f t="shared" si="67"/>
        <v>-41825.279999999999</v>
      </c>
      <c r="AR44" s="42">
        <f t="shared" si="68"/>
        <v>2049438.72</v>
      </c>
      <c r="AS44" s="42">
        <f>'[12]Adjusted Amounts'!Q197</f>
        <v>4203</v>
      </c>
      <c r="AT44" s="42">
        <v>0</v>
      </c>
      <c r="AU44" s="457">
        <f t="shared" si="54"/>
        <v>2053641.72</v>
      </c>
      <c r="AV44" s="120">
        <f>+'[13]Table 5B1_RSD_Orleans'!Y44+'[7]Table 5B1_RSD_Orleans'!AK44+('[8]Table 5B1_RSD_Orleans'!AK44*3)+'[9]Table 5B1_RSD_Orleans'!AK44+'[10]Table 5B1_RSD_Orleans'!AK44+'[11]Table 5B1_RSD_Orleans'!AK44</f>
        <v>1300060.1287878789</v>
      </c>
      <c r="AW44" s="120">
        <f t="shared" si="55"/>
        <v>753581.59121212107</v>
      </c>
      <c r="AX44" s="457">
        <f t="shared" si="56"/>
        <v>188395.39780303027</v>
      </c>
      <c r="AY44" s="42">
        <f t="shared" si="75"/>
        <v>3668998.7199999997</v>
      </c>
      <c r="AZ44" s="42">
        <f t="shared" si="58"/>
        <v>340029.14780303027</v>
      </c>
      <c r="BA44" s="42">
        <f t="shared" si="59"/>
        <v>74022</v>
      </c>
      <c r="BB44" s="42">
        <f t="shared" si="60"/>
        <v>114373.39780303027</v>
      </c>
      <c r="BC44" s="146">
        <f t="shared" si="34"/>
        <v>0</v>
      </c>
    </row>
    <row r="45" spans="1:55" ht="30.75" customHeight="1">
      <c r="A45" s="51">
        <v>393001</v>
      </c>
      <c r="B45" s="52" t="s">
        <v>28</v>
      </c>
      <c r="C45" s="24">
        <f>'[14]RSD-NO by Site'!D41</f>
        <v>886</v>
      </c>
      <c r="D45" s="25">
        <f t="shared" si="35"/>
        <v>2081915.9598308506</v>
      </c>
      <c r="E45" s="25">
        <v>776.90344307346322</v>
      </c>
      <c r="F45" s="25">
        <f t="shared" si="71"/>
        <v>688336.45056308841</v>
      </c>
      <c r="G45" s="121">
        <f t="shared" si="37"/>
        <v>2770252.4103939389</v>
      </c>
      <c r="H45" s="134">
        <f>IFERROR(VLOOKUP(A45,'[4]RSD Opr + Type 5s'!$A$6:$E$77,5,FALSE),"na")</f>
        <v>24</v>
      </c>
      <c r="I45" s="121">
        <f t="shared" si="38"/>
        <v>35824.625821719696</v>
      </c>
      <c r="J45" s="134">
        <f>+IFERROR(VLOOKUP(A45,'[4]RSD Opr + Type 5s'!$A$6:$L$77,12,FALSE),"na")</f>
        <v>70</v>
      </c>
      <c r="K45" s="121">
        <f t="shared" si="39"/>
        <v>626930.95188009471</v>
      </c>
      <c r="L45" s="134">
        <f>+IFERROR(VLOOKUP(A45,'[4]RSD Opr + Type 5s'!$A$6:$V$77,22,FALSE),"na")</f>
        <v>7</v>
      </c>
      <c r="M45" s="121">
        <f t="shared" si="40"/>
        <v>114937.34117801736</v>
      </c>
      <c r="N45" s="121">
        <f t="shared" si="41"/>
        <v>777692.91887983168</v>
      </c>
      <c r="O45" s="121">
        <f t="shared" si="42"/>
        <v>3547945.3292737706</v>
      </c>
      <c r="P45" s="121">
        <f>+IFERROR(VLOOKUP(A45,'October midyear adj'!$A$128:$K$203,11,FALSE),"na")</f>
        <v>-17189.571507378554</v>
      </c>
      <c r="Q45" s="134">
        <f>+IFERROR(VLOOKUP(A45,'October midyear adj'!A123:E241,5,FALSE),"Na")</f>
        <v>-4</v>
      </c>
      <c r="R45" s="121">
        <f t="shared" si="43"/>
        <v>4682.7886162095274</v>
      </c>
      <c r="S45" s="121">
        <f t="shared" si="44"/>
        <v>-12506.782891169027</v>
      </c>
      <c r="T45" s="121">
        <f>IFERROR(VLOOKUP(A45,'February midyear adj '!$A$128:$K$203,11,FALSE),"na")</f>
        <v>-4297.3928768446385</v>
      </c>
      <c r="U45" s="121">
        <f t="shared" si="45"/>
        <v>-16804.175768013665</v>
      </c>
      <c r="V45" s="121">
        <f t="shared" si="46"/>
        <v>3531141.153505757</v>
      </c>
      <c r="W45" s="27">
        <f t="shared" si="61"/>
        <v>-61794.970186350751</v>
      </c>
      <c r="X45" s="27">
        <f t="shared" si="62"/>
        <v>-8827.8528837643935</v>
      </c>
      <c r="Y45" s="27">
        <f t="shared" si="63"/>
        <v>-70622.823070115148</v>
      </c>
      <c r="Z45" s="26">
        <f t="shared" si="64"/>
        <v>3460518.330435642</v>
      </c>
      <c r="AA45" s="27">
        <f>'[5]Adjusted Amounts'!I198</f>
        <v>2014.4652695225413</v>
      </c>
      <c r="AB45" s="27">
        <v>0</v>
      </c>
      <c r="AC45" s="121">
        <f t="shared" si="47"/>
        <v>3462533</v>
      </c>
      <c r="AD45" s="445">
        <f>+'[6]Table 5B1_RSD_Orleans'!P45+'[7]Table 5B1_RSD_Orleans'!W45+('[8]Table 5B1_RSD_Orleans'!W45*3)+'[9]Table 5B1_RSD_Orleans'!W45+'[10]Table 5B1_RSD_Orleans'!W45+'[11]Table 5B1_RSD_Orleans'!W45</f>
        <v>2474176</v>
      </c>
      <c r="AE45" s="445">
        <f t="shared" si="48"/>
        <v>988357</v>
      </c>
      <c r="AF45" s="445">
        <f t="shared" si="49"/>
        <v>247089.25</v>
      </c>
      <c r="AG45" s="121">
        <f t="shared" si="72"/>
        <v>4135848</v>
      </c>
      <c r="AH45" s="121">
        <v>0</v>
      </c>
      <c r="AI45" s="134">
        <f t="shared" si="73"/>
        <v>-4</v>
      </c>
      <c r="AJ45" s="121">
        <f t="shared" si="51"/>
        <v>-18672</v>
      </c>
      <c r="AK45" s="134">
        <f>+IFERROR(VLOOKUP(A45,'February midyear adj '!$A$85:$E$204,5,FALSE),"na")</f>
        <v>-2</v>
      </c>
      <c r="AL45" s="121">
        <f t="shared" si="74"/>
        <v>-4668</v>
      </c>
      <c r="AM45" s="121">
        <f t="shared" si="52"/>
        <v>-23340</v>
      </c>
      <c r="AN45" s="26">
        <f t="shared" si="53"/>
        <v>4112508</v>
      </c>
      <c r="AO45" s="27">
        <f t="shared" si="65"/>
        <v>-71968.890000000014</v>
      </c>
      <c r="AP45" s="27">
        <f t="shared" si="66"/>
        <v>-10281.27</v>
      </c>
      <c r="AQ45" s="27">
        <f t="shared" si="67"/>
        <v>-82250.160000000018</v>
      </c>
      <c r="AR45" s="27">
        <f t="shared" si="68"/>
        <v>4030257.84</v>
      </c>
      <c r="AS45" s="27">
        <f>'[12]Adjusted Amounts'!Q198</f>
        <v>2101.5</v>
      </c>
      <c r="AT45" s="27">
        <v>0</v>
      </c>
      <c r="AU45" s="455">
        <f t="shared" si="54"/>
        <v>4032359.34</v>
      </c>
      <c r="AV45" s="445">
        <f>+'[13]Table 5B1_RSD_Orleans'!Y45+'[7]Table 5B1_RSD_Orleans'!AK45+('[8]Table 5B1_RSD_Orleans'!AK45*3)+'[9]Table 5B1_RSD_Orleans'!AK45+'[10]Table 5B1_RSD_Orleans'!AK45+'[11]Table 5B1_RSD_Orleans'!AK45</f>
        <v>2705803.7822121214</v>
      </c>
      <c r="AW45" s="445">
        <f t="shared" si="55"/>
        <v>1326555.5577878784</v>
      </c>
      <c r="AX45" s="461">
        <f t="shared" si="56"/>
        <v>331638.88944696961</v>
      </c>
      <c r="AY45" s="27">
        <f t="shared" si="75"/>
        <v>7494892.3399999999</v>
      </c>
      <c r="AZ45" s="27">
        <f t="shared" si="58"/>
        <v>578728.13944696961</v>
      </c>
      <c r="BA45" s="27">
        <f t="shared" si="59"/>
        <v>130303</v>
      </c>
      <c r="BB45" s="27">
        <f t="shared" si="60"/>
        <v>201335.88944696961</v>
      </c>
      <c r="BC45" s="146">
        <f t="shared" si="34"/>
        <v>0</v>
      </c>
    </row>
    <row r="46" spans="1:55" ht="30.75" customHeight="1">
      <c r="A46" s="35">
        <v>393002</v>
      </c>
      <c r="B46" s="36" t="s">
        <v>80</v>
      </c>
      <c r="C46" s="31">
        <f>'[14]RSD-NO by Site'!D42</f>
        <v>466</v>
      </c>
      <c r="D46" s="32">
        <f t="shared" si="35"/>
        <v>1095003.2023489575</v>
      </c>
      <c r="E46" s="32">
        <v>642.89065513553726</v>
      </c>
      <c r="F46" s="32">
        <f t="shared" si="71"/>
        <v>299587.04529316036</v>
      </c>
      <c r="G46" s="111">
        <f t="shared" si="37"/>
        <v>1394590.247642118</v>
      </c>
      <c r="H46" s="115">
        <f>IFERROR(VLOOKUP(A46,'[4]RSD Opr + Type 5s'!$A$6:$E$77,5,FALSE),"na")</f>
        <v>15</v>
      </c>
      <c r="I46" s="111">
        <f t="shared" si="38"/>
        <v>22390.391138574811</v>
      </c>
      <c r="J46" s="115">
        <f>+IFERROR(VLOOKUP(A46,'[4]RSD Opr + Type 5s'!$A$6:$L$77,12,FALSE),"na")</f>
        <v>52</v>
      </c>
      <c r="K46" s="111">
        <f t="shared" si="39"/>
        <v>465720.13568235602</v>
      </c>
      <c r="L46" s="115">
        <f>+IFERROR(VLOOKUP(A46,'[4]RSD Opr + Type 5s'!$A$6:$V$77,22,FALSE),"na")</f>
        <v>7</v>
      </c>
      <c r="M46" s="111">
        <f t="shared" si="40"/>
        <v>114937.34117801736</v>
      </c>
      <c r="N46" s="111">
        <f t="shared" si="41"/>
        <v>603047.8679989482</v>
      </c>
      <c r="O46" s="111">
        <f t="shared" si="42"/>
        <v>1997638.1156410663</v>
      </c>
      <c r="P46" s="111">
        <f>+IFERROR(VLOOKUP(A46,'October midyear adj'!$A$128:$K$203,11,FALSE),"na")</f>
        <v>24980.280533440273</v>
      </c>
      <c r="Q46" s="115">
        <f>+IFERROR(VLOOKUP(A46,'October midyear adj'!A124:E242,5,FALSE),"Na")</f>
        <v>6</v>
      </c>
      <c r="R46" s="111">
        <f t="shared" si="43"/>
        <v>-7024.1829243142911</v>
      </c>
      <c r="S46" s="111">
        <f t="shared" si="44"/>
        <v>17956.09760912598</v>
      </c>
      <c r="T46" s="111">
        <f>IFERROR(VLOOKUP(A46,'February midyear adj '!$A$128:$K$203,11,FALSE),"na")</f>
        <v>24980.280533440273</v>
      </c>
      <c r="U46" s="111">
        <f t="shared" si="45"/>
        <v>42936.378142566253</v>
      </c>
      <c r="V46" s="111">
        <f t="shared" si="46"/>
        <v>2040574.4937836325</v>
      </c>
      <c r="W46" s="34">
        <f t="shared" si="61"/>
        <v>-35710.05364121357</v>
      </c>
      <c r="X46" s="34">
        <f t="shared" si="62"/>
        <v>-5101.4362344590818</v>
      </c>
      <c r="Y46" s="34">
        <f t="shared" si="63"/>
        <v>-40811.489875672654</v>
      </c>
      <c r="Z46" s="33">
        <f t="shared" si="64"/>
        <v>1999763.0039079599</v>
      </c>
      <c r="AA46" s="34">
        <f>'[5]Adjusted Amounts'!I199</f>
        <v>1947.4588755535794</v>
      </c>
      <c r="AB46" s="34">
        <v>0</v>
      </c>
      <c r="AC46" s="111">
        <f t="shared" si="47"/>
        <v>2001710</v>
      </c>
      <c r="AD46" s="111">
        <f>+'[6]Table 5B1_RSD_Orleans'!P46+'[7]Table 5B1_RSD_Orleans'!W46+('[8]Table 5B1_RSD_Orleans'!W46*3)+'[9]Table 5B1_RSD_Orleans'!W46+'[10]Table 5B1_RSD_Orleans'!W46+'[11]Table 5B1_RSD_Orleans'!W46</f>
        <v>1262825</v>
      </c>
      <c r="AE46" s="111">
        <f t="shared" si="48"/>
        <v>738885</v>
      </c>
      <c r="AF46" s="111">
        <f t="shared" si="49"/>
        <v>184721.25</v>
      </c>
      <c r="AG46" s="111">
        <f t="shared" si="72"/>
        <v>2175288</v>
      </c>
      <c r="AH46" s="111">
        <v>0</v>
      </c>
      <c r="AI46" s="115">
        <f t="shared" si="73"/>
        <v>6</v>
      </c>
      <c r="AJ46" s="111">
        <f t="shared" si="51"/>
        <v>28008</v>
      </c>
      <c r="AK46" s="115">
        <f>+IFERROR(VLOOKUP(A46,'February midyear adj '!$A$85:$E$204,5,FALSE),"na")</f>
        <v>12</v>
      </c>
      <c r="AL46" s="111">
        <f t="shared" si="74"/>
        <v>28008</v>
      </c>
      <c r="AM46" s="111">
        <f t="shared" si="52"/>
        <v>56016</v>
      </c>
      <c r="AN46" s="33">
        <f t="shared" si="53"/>
        <v>2231304</v>
      </c>
      <c r="AO46" s="34">
        <f t="shared" si="65"/>
        <v>-39047.820000000007</v>
      </c>
      <c r="AP46" s="34">
        <f t="shared" si="66"/>
        <v>-5578.26</v>
      </c>
      <c r="AQ46" s="34">
        <f t="shared" si="67"/>
        <v>-44626.080000000009</v>
      </c>
      <c r="AR46" s="34">
        <f t="shared" si="68"/>
        <v>2186677.92</v>
      </c>
      <c r="AS46" s="34">
        <f>'[12]Adjusted Amounts'!Q199</f>
        <v>2101.5</v>
      </c>
      <c r="AT46" s="34">
        <v>0</v>
      </c>
      <c r="AU46" s="456">
        <f t="shared" si="54"/>
        <v>2188779.42</v>
      </c>
      <c r="AV46" s="111">
        <f>+'[13]Table 5B1_RSD_Orleans'!Y46+'[7]Table 5B1_RSD_Orleans'!AK46+('[8]Table 5B1_RSD_Orleans'!AK46*3)+'[9]Table 5B1_RSD_Orleans'!AK46+'[10]Table 5B1_RSD_Orleans'!AK46+'[11]Table 5B1_RSD_Orleans'!AK46</f>
        <v>1423806.8076666663</v>
      </c>
      <c r="AW46" s="111">
        <f t="shared" si="55"/>
        <v>764972.61233333359</v>
      </c>
      <c r="AX46" s="456">
        <f t="shared" si="56"/>
        <v>191243.1530833334</v>
      </c>
      <c r="AY46" s="34">
        <f t="shared" si="75"/>
        <v>4190489.42</v>
      </c>
      <c r="AZ46" s="34">
        <f t="shared" si="58"/>
        <v>375964.4030833334</v>
      </c>
      <c r="BA46" s="34">
        <f t="shared" si="59"/>
        <v>75141</v>
      </c>
      <c r="BB46" s="34">
        <f t="shared" si="60"/>
        <v>116102.1530833334</v>
      </c>
      <c r="BC46" s="146">
        <f t="shared" si="34"/>
        <v>0</v>
      </c>
    </row>
    <row r="47" spans="1:55" ht="30.75" customHeight="1">
      <c r="A47" s="29">
        <v>393003</v>
      </c>
      <c r="B47" s="30" t="s">
        <v>81</v>
      </c>
      <c r="C47" s="56">
        <f>'[14]RSD-NO by Site'!D43</f>
        <v>444</v>
      </c>
      <c r="D47" s="32">
        <f t="shared" si="35"/>
        <v>1043307.7721951441</v>
      </c>
      <c r="E47" s="32">
        <v>746.0335616438357</v>
      </c>
      <c r="F47" s="32">
        <f t="shared" si="71"/>
        <v>331238.90136986307</v>
      </c>
      <c r="G47" s="111">
        <f t="shared" si="37"/>
        <v>1374546.6735650073</v>
      </c>
      <c r="H47" s="115">
        <f>IFERROR(VLOOKUP(A47,'[4]RSD Opr + Type 5s'!$A$6:$E$77,5,FALSE),"na")</f>
        <v>8</v>
      </c>
      <c r="I47" s="111">
        <f t="shared" si="38"/>
        <v>11941.541940573232</v>
      </c>
      <c r="J47" s="115">
        <f>+IFERROR(VLOOKUP(A47,'[4]RSD Opr + Type 5s'!$A$6:$L$77,12,FALSE),"na")</f>
        <v>29</v>
      </c>
      <c r="K47" s="111">
        <f t="shared" si="39"/>
        <v>259728.5372074678</v>
      </c>
      <c r="L47" s="115">
        <f>+IFERROR(VLOOKUP(A47,'[4]RSD Opr + Type 5s'!$A$6:$V$77,22,FALSE),"na")</f>
        <v>9</v>
      </c>
      <c r="M47" s="111">
        <f t="shared" si="40"/>
        <v>147776.58151459374</v>
      </c>
      <c r="N47" s="111">
        <f t="shared" si="41"/>
        <v>419446.66066263476</v>
      </c>
      <c r="O47" s="111">
        <f t="shared" si="42"/>
        <v>1793993.334227642</v>
      </c>
      <c r="P47" s="111">
        <f>+IFERROR(VLOOKUP(A47,'October midyear adj'!$A$128:$K$203,11,FALSE),"na")</f>
        <v>-8533.0459908300218</v>
      </c>
      <c r="Q47" s="115">
        <f>+IFERROR(VLOOKUP(A47,'October midyear adj'!A125:E243,5,FALSE),"Na")</f>
        <v>-2</v>
      </c>
      <c r="R47" s="111">
        <f t="shared" si="43"/>
        <v>2341.3943081047637</v>
      </c>
      <c r="S47" s="111">
        <f t="shared" si="44"/>
        <v>-6191.6516827252581</v>
      </c>
      <c r="T47" s="111">
        <f>IFERROR(VLOOKUP(A47,'February midyear adj '!$A$128:$K$203,11,FALSE),"na")</f>
        <v>-6399.7844931225163</v>
      </c>
      <c r="U47" s="111">
        <f t="shared" si="45"/>
        <v>-12591.436175847775</v>
      </c>
      <c r="V47" s="111">
        <f t="shared" si="46"/>
        <v>1781401.8980517942</v>
      </c>
      <c r="W47" s="34">
        <f t="shared" si="61"/>
        <v>-31174.533215906402</v>
      </c>
      <c r="X47" s="34">
        <f t="shared" si="62"/>
        <v>-4453.5047451294859</v>
      </c>
      <c r="Y47" s="34">
        <f t="shared" si="63"/>
        <v>-35628.037961035887</v>
      </c>
      <c r="Z47" s="33">
        <f t="shared" si="64"/>
        <v>1745773.8600907582</v>
      </c>
      <c r="AA47" s="34">
        <f>'[5]Adjusted Amounts'!I200</f>
        <v>0</v>
      </c>
      <c r="AB47" s="34">
        <v>0</v>
      </c>
      <c r="AC47" s="111">
        <f t="shared" si="47"/>
        <v>1745774</v>
      </c>
      <c r="AD47" s="111">
        <f>+'[6]Table 5B1_RSD_Orleans'!P47+'[7]Table 5B1_RSD_Orleans'!W47+('[8]Table 5B1_RSD_Orleans'!W47*3)+'[9]Table 5B1_RSD_Orleans'!W47+'[10]Table 5B1_RSD_Orleans'!W47+'[11]Table 5B1_RSD_Orleans'!W47</f>
        <v>1046329</v>
      </c>
      <c r="AE47" s="111">
        <f t="shared" si="48"/>
        <v>699445</v>
      </c>
      <c r="AF47" s="111">
        <f t="shared" si="49"/>
        <v>174861.25</v>
      </c>
      <c r="AG47" s="111">
        <f t="shared" si="72"/>
        <v>2072592</v>
      </c>
      <c r="AH47" s="111">
        <v>0</v>
      </c>
      <c r="AI47" s="115">
        <f t="shared" si="73"/>
        <v>-2</v>
      </c>
      <c r="AJ47" s="111">
        <f t="shared" si="51"/>
        <v>-9336</v>
      </c>
      <c r="AK47" s="115">
        <f>+IFERROR(VLOOKUP(A47,'February midyear adj '!$A$85:$E$204,5,FALSE),"na")</f>
        <v>-3</v>
      </c>
      <c r="AL47" s="111">
        <f t="shared" si="74"/>
        <v>-7002</v>
      </c>
      <c r="AM47" s="111">
        <f t="shared" si="52"/>
        <v>-16338</v>
      </c>
      <c r="AN47" s="33">
        <f t="shared" si="53"/>
        <v>2056254</v>
      </c>
      <c r="AO47" s="34">
        <f t="shared" si="65"/>
        <v>-35984.445000000007</v>
      </c>
      <c r="AP47" s="34">
        <f t="shared" si="66"/>
        <v>-5140.6350000000002</v>
      </c>
      <c r="AQ47" s="34">
        <f t="shared" si="67"/>
        <v>-41125.080000000009</v>
      </c>
      <c r="AR47" s="34">
        <f t="shared" si="68"/>
        <v>2015128.92</v>
      </c>
      <c r="AS47" s="34">
        <f>'[12]Adjusted Amounts'!Q200</f>
        <v>0</v>
      </c>
      <c r="AT47" s="34">
        <v>0</v>
      </c>
      <c r="AU47" s="456">
        <f t="shared" si="54"/>
        <v>2015128.92</v>
      </c>
      <c r="AV47" s="111">
        <f>+'[13]Table 5B1_RSD_Orleans'!Y47+'[7]Table 5B1_RSD_Orleans'!AK47+('[8]Table 5B1_RSD_Orleans'!AK47*3)+'[9]Table 5B1_RSD_Orleans'!AK47+'[10]Table 5B1_RSD_Orleans'!AK47+'[11]Table 5B1_RSD_Orleans'!AK47</f>
        <v>1355253.3985454545</v>
      </c>
      <c r="AW47" s="111">
        <f t="shared" si="55"/>
        <v>659875.52145454544</v>
      </c>
      <c r="AX47" s="456">
        <f t="shared" si="56"/>
        <v>164968.88036363636</v>
      </c>
      <c r="AY47" s="34">
        <f t="shared" si="75"/>
        <v>3760902.92</v>
      </c>
      <c r="AZ47" s="34">
        <f t="shared" si="58"/>
        <v>339830.13036363636</v>
      </c>
      <c r="BA47" s="34">
        <f t="shared" si="59"/>
        <v>64818</v>
      </c>
      <c r="BB47" s="34">
        <f t="shared" si="60"/>
        <v>100150.88036363636</v>
      </c>
      <c r="BC47" s="146">
        <f t="shared" si="34"/>
        <v>0</v>
      </c>
    </row>
    <row r="48" spans="1:55" ht="30.75" customHeight="1">
      <c r="A48" s="35">
        <v>395001</v>
      </c>
      <c r="B48" s="36" t="s">
        <v>30</v>
      </c>
      <c r="C48" s="31">
        <f>'[14]RSD-NO by Site'!D44</f>
        <v>673</v>
      </c>
      <c r="D48" s="32">
        <f t="shared" si="35"/>
        <v>1581410.2042507478</v>
      </c>
      <c r="E48" s="32">
        <v>678.38194087511556</v>
      </c>
      <c r="F48" s="32">
        <f t="shared" si="71"/>
        <v>456551.04620895279</v>
      </c>
      <c r="G48" s="111">
        <f t="shared" si="37"/>
        <v>2037961.2504597006</v>
      </c>
      <c r="H48" s="115">
        <f>IFERROR(VLOOKUP(A48,'[4]RSD Opr + Type 5s'!$A$6:$E$77,5,FALSE),"na")</f>
        <v>15</v>
      </c>
      <c r="I48" s="111">
        <f t="shared" si="38"/>
        <v>22390.391138574811</v>
      </c>
      <c r="J48" s="115">
        <f>+IFERROR(VLOOKUP(A48,'[4]RSD Opr + Type 5s'!$A$6:$L$77,12,FALSE),"na")</f>
        <v>44</v>
      </c>
      <c r="K48" s="111">
        <f t="shared" si="39"/>
        <v>394070.88403891667</v>
      </c>
      <c r="L48" s="115">
        <f>+IFERROR(VLOOKUP(A48,'[4]RSD Opr + Type 5s'!$A$6:$V$77,22,FALSE),"na")</f>
        <v>12</v>
      </c>
      <c r="M48" s="111">
        <f t="shared" si="40"/>
        <v>197035.44201945834</v>
      </c>
      <c r="N48" s="111">
        <f t="shared" si="41"/>
        <v>613496.71719694976</v>
      </c>
      <c r="O48" s="111">
        <f t="shared" si="42"/>
        <v>2651457.9676566506</v>
      </c>
      <c r="P48" s="111">
        <f>+IFERROR(VLOOKUP(A48,'October midyear adj'!$A$128:$K$203,11,FALSE),"na")</f>
        <v>25193.228247877745</v>
      </c>
      <c r="Q48" s="115">
        <f>+IFERROR(VLOOKUP(A48,'October midyear adj'!A126:E244,5,FALSE),"Na")</f>
        <v>6</v>
      </c>
      <c r="R48" s="111">
        <f t="shared" si="43"/>
        <v>-7024.1829243142911</v>
      </c>
      <c r="S48" s="111">
        <f t="shared" si="44"/>
        <v>18169.045323563456</v>
      </c>
      <c r="T48" s="111">
        <f>IFERROR(VLOOKUP(A48,'February midyear adj '!$A$128:$K$203,11,FALSE),"na")</f>
        <v>14696.049811262019</v>
      </c>
      <c r="U48" s="111">
        <f t="shared" si="45"/>
        <v>32865.095134825475</v>
      </c>
      <c r="V48" s="111">
        <f t="shared" si="46"/>
        <v>2684323.062791476</v>
      </c>
      <c r="W48" s="34">
        <f t="shared" si="61"/>
        <v>-46975.653598850833</v>
      </c>
      <c r="X48" s="34">
        <f t="shared" si="62"/>
        <v>-6710.8076569786899</v>
      </c>
      <c r="Y48" s="34">
        <f t="shared" si="63"/>
        <v>-53686.461255829519</v>
      </c>
      <c r="Z48" s="33">
        <f t="shared" si="64"/>
        <v>2630636.6015356467</v>
      </c>
      <c r="AA48" s="34">
        <f>'[5]Adjusted Amounts'!I201</f>
        <v>-19208.648799330509</v>
      </c>
      <c r="AB48" s="34">
        <v>0</v>
      </c>
      <c r="AC48" s="111">
        <f t="shared" si="47"/>
        <v>2611428</v>
      </c>
      <c r="AD48" s="111">
        <f>+'[6]Table 5B1_RSD_Orleans'!P48+'[7]Table 5B1_RSD_Orleans'!W48+('[8]Table 5B1_RSD_Orleans'!W48*3)+'[9]Table 5B1_RSD_Orleans'!W48+'[10]Table 5B1_RSD_Orleans'!W48+'[11]Table 5B1_RSD_Orleans'!W48</f>
        <v>1742064</v>
      </c>
      <c r="AE48" s="111">
        <f t="shared" si="48"/>
        <v>869364</v>
      </c>
      <c r="AF48" s="111">
        <f t="shared" si="49"/>
        <v>217341</v>
      </c>
      <c r="AG48" s="111">
        <f t="shared" si="72"/>
        <v>3141564</v>
      </c>
      <c r="AH48" s="111">
        <v>0</v>
      </c>
      <c r="AI48" s="115">
        <f t="shared" si="73"/>
        <v>6</v>
      </c>
      <c r="AJ48" s="111">
        <f t="shared" si="51"/>
        <v>28008</v>
      </c>
      <c r="AK48" s="115">
        <f>+IFERROR(VLOOKUP(A48,'February midyear adj '!$A$85:$E$204,5,FALSE),"na")</f>
        <v>7</v>
      </c>
      <c r="AL48" s="111">
        <f t="shared" si="74"/>
        <v>16338</v>
      </c>
      <c r="AM48" s="111">
        <f t="shared" si="52"/>
        <v>44346</v>
      </c>
      <c r="AN48" s="33">
        <f t="shared" si="53"/>
        <v>3185910</v>
      </c>
      <c r="AO48" s="34">
        <f t="shared" si="65"/>
        <v>-55753.425000000003</v>
      </c>
      <c r="AP48" s="34">
        <f t="shared" si="66"/>
        <v>-7964.7750000000005</v>
      </c>
      <c r="AQ48" s="34">
        <f t="shared" si="67"/>
        <v>-63718.200000000004</v>
      </c>
      <c r="AR48" s="34">
        <f t="shared" si="68"/>
        <v>3122191.8</v>
      </c>
      <c r="AS48" s="34">
        <f>'[12]Adjusted Amounts'!Q201</f>
        <v>-6297.5</v>
      </c>
      <c r="AT48" s="34">
        <v>0</v>
      </c>
      <c r="AU48" s="456">
        <f t="shared" si="54"/>
        <v>3115894.3</v>
      </c>
      <c r="AV48" s="111">
        <f>+'[13]Table 5B1_RSD_Orleans'!Y48+'[7]Table 5B1_RSD_Orleans'!AK48+('[8]Table 5B1_RSD_Orleans'!AK48*3)+'[9]Table 5B1_RSD_Orleans'!AK48+'[10]Table 5B1_RSD_Orleans'!AK48+'[11]Table 5B1_RSD_Orleans'!AK48</f>
        <v>2050049.0684545455</v>
      </c>
      <c r="AW48" s="111">
        <f t="shared" si="55"/>
        <v>1065845.2315454544</v>
      </c>
      <c r="AX48" s="456">
        <f t="shared" si="56"/>
        <v>266461.30788636359</v>
      </c>
      <c r="AY48" s="34">
        <f t="shared" si="75"/>
        <v>5727322.2999999998</v>
      </c>
      <c r="AZ48" s="34">
        <f t="shared" si="58"/>
        <v>483802.30788636359</v>
      </c>
      <c r="BA48" s="34">
        <f t="shared" si="59"/>
        <v>104695</v>
      </c>
      <c r="BB48" s="34">
        <f t="shared" si="60"/>
        <v>161766.30788636359</v>
      </c>
      <c r="BC48" s="146">
        <f t="shared" si="34"/>
        <v>0</v>
      </c>
    </row>
    <row r="49" spans="1:55" ht="30.75" customHeight="1">
      <c r="A49" s="48">
        <v>395002</v>
      </c>
      <c r="B49" s="49" t="s">
        <v>31</v>
      </c>
      <c r="C49" s="50">
        <f>'[14]RSD-NO by Site'!D45</f>
        <v>606</v>
      </c>
      <c r="D49" s="40">
        <f t="shared" si="35"/>
        <v>1423974.1215095886</v>
      </c>
      <c r="E49" s="40">
        <v>686.92241021135874</v>
      </c>
      <c r="F49" s="40">
        <f t="shared" si="71"/>
        <v>416274.98058808339</v>
      </c>
      <c r="G49" s="120">
        <f t="shared" si="37"/>
        <v>1840249.1020976719</v>
      </c>
      <c r="H49" s="135">
        <f>IFERROR(VLOOKUP(A49,'[4]RSD Opr + Type 5s'!$A$6:$E$77,5,FALSE),"na")</f>
        <v>27</v>
      </c>
      <c r="I49" s="120">
        <f t="shared" si="38"/>
        <v>40302.704049434658</v>
      </c>
      <c r="J49" s="135">
        <f>+IFERROR(VLOOKUP(A49,'[4]RSD Opr + Type 5s'!$A$6:$L$77,12,FALSE),"na")</f>
        <v>28</v>
      </c>
      <c r="K49" s="120">
        <f t="shared" si="39"/>
        <v>250772.38075203786</v>
      </c>
      <c r="L49" s="135">
        <f>+IFERROR(VLOOKUP(A49,'[4]RSD Opr + Type 5s'!$A$6:$V$77,22,FALSE),"na")</f>
        <v>19</v>
      </c>
      <c r="M49" s="120">
        <f t="shared" si="40"/>
        <v>311972.78319747571</v>
      </c>
      <c r="N49" s="120">
        <f t="shared" si="41"/>
        <v>603047.8679989482</v>
      </c>
      <c r="O49" s="120">
        <f t="shared" si="42"/>
        <v>2443296.9700966203</v>
      </c>
      <c r="P49" s="120">
        <f>+IFERROR(VLOOKUP(A49,'October midyear adj'!$A$128:$K$203,11,FALSE),"na")</f>
        <v>668978.48319322278</v>
      </c>
      <c r="Q49" s="135">
        <f>+IFERROR(VLOOKUP(A49,'October midyear adj'!A127:E245,5,FALSE),"Na")</f>
        <v>159</v>
      </c>
      <c r="R49" s="120">
        <f t="shared" si="43"/>
        <v>-186140.84749432871</v>
      </c>
      <c r="S49" s="120">
        <f t="shared" si="44"/>
        <v>482837.63569889404</v>
      </c>
      <c r="T49" s="120">
        <f>IFERROR(VLOOKUP(A49,'February midyear adj '!$A$128:$K$203,11,FALSE),"na")</f>
        <v>27348.176985886468</v>
      </c>
      <c r="U49" s="120">
        <f t="shared" si="45"/>
        <v>510185.81268478051</v>
      </c>
      <c r="V49" s="120">
        <f t="shared" si="46"/>
        <v>2953482.7827814007</v>
      </c>
      <c r="W49" s="42">
        <f t="shared" si="61"/>
        <v>-51685.948698674518</v>
      </c>
      <c r="X49" s="42">
        <f t="shared" si="62"/>
        <v>-7383.7069569535015</v>
      </c>
      <c r="Y49" s="42">
        <f t="shared" si="63"/>
        <v>-59069.655655628019</v>
      </c>
      <c r="Z49" s="41">
        <f t="shared" si="64"/>
        <v>2894413.1271257726</v>
      </c>
      <c r="AA49" s="42">
        <f>'[5]Adjusted Amounts'!I202</f>
        <v>-3892.7998885716588</v>
      </c>
      <c r="AB49" s="42">
        <v>0</v>
      </c>
      <c r="AC49" s="120">
        <f t="shared" si="47"/>
        <v>2890520</v>
      </c>
      <c r="AD49" s="120">
        <f>+'[6]Table 5B1_RSD_Orleans'!P49+'[7]Table 5B1_RSD_Orleans'!W49+('[8]Table 5B1_RSD_Orleans'!W49*3)+'[9]Table 5B1_RSD_Orleans'!W49+'[10]Table 5B1_RSD_Orleans'!W49+'[11]Table 5B1_RSD_Orleans'!W49</f>
        <v>1600827</v>
      </c>
      <c r="AE49" s="120">
        <f t="shared" si="48"/>
        <v>1289693</v>
      </c>
      <c r="AF49" s="120">
        <f t="shared" si="49"/>
        <v>322423.25</v>
      </c>
      <c r="AG49" s="120">
        <f t="shared" si="72"/>
        <v>2828808</v>
      </c>
      <c r="AH49" s="120">
        <v>0</v>
      </c>
      <c r="AI49" s="135">
        <f t="shared" si="73"/>
        <v>159</v>
      </c>
      <c r="AJ49" s="120">
        <f t="shared" si="51"/>
        <v>742212</v>
      </c>
      <c r="AK49" s="135">
        <f>+IFERROR(VLOOKUP(A49,'February midyear adj '!$A$85:$E$204,5,FALSE),"na")</f>
        <v>13</v>
      </c>
      <c r="AL49" s="120">
        <f t="shared" si="74"/>
        <v>30342</v>
      </c>
      <c r="AM49" s="120">
        <f t="shared" si="52"/>
        <v>772554</v>
      </c>
      <c r="AN49" s="41">
        <f t="shared" si="53"/>
        <v>3601362</v>
      </c>
      <c r="AO49" s="42">
        <f t="shared" si="65"/>
        <v>-63023.835000000006</v>
      </c>
      <c r="AP49" s="42">
        <f t="shared" si="66"/>
        <v>-9003.4050000000007</v>
      </c>
      <c r="AQ49" s="42">
        <f t="shared" si="67"/>
        <v>-72027.240000000005</v>
      </c>
      <c r="AR49" s="42">
        <f t="shared" si="68"/>
        <v>3529334.76</v>
      </c>
      <c r="AS49" s="42">
        <f>'[12]Adjusted Amounts'!Q202</f>
        <v>-4189</v>
      </c>
      <c r="AT49" s="42">
        <v>0</v>
      </c>
      <c r="AU49" s="457">
        <f t="shared" si="54"/>
        <v>3525145.76</v>
      </c>
      <c r="AV49" s="120">
        <f>+'[13]Table 5B1_RSD_Orleans'!Y49+'[7]Table 5B1_RSD_Orleans'!AK49+('[8]Table 5B1_RSD_Orleans'!AK49*3)+'[9]Table 5B1_RSD_Orleans'!AK49+'[10]Table 5B1_RSD_Orleans'!AK49+'[11]Table 5B1_RSD_Orleans'!AK49</f>
        <v>1846945.8272121211</v>
      </c>
      <c r="AW49" s="120">
        <f t="shared" si="55"/>
        <v>1678199.9327878787</v>
      </c>
      <c r="AX49" s="457">
        <f t="shared" si="56"/>
        <v>419549.98319696967</v>
      </c>
      <c r="AY49" s="42">
        <f t="shared" si="75"/>
        <v>6415665.7599999998</v>
      </c>
      <c r="AZ49" s="42">
        <f t="shared" si="58"/>
        <v>741973.23319696961</v>
      </c>
      <c r="BA49" s="42">
        <f t="shared" si="59"/>
        <v>164844</v>
      </c>
      <c r="BB49" s="42">
        <f t="shared" si="60"/>
        <v>254705.98319696967</v>
      </c>
      <c r="BC49" s="146">
        <f t="shared" si="34"/>
        <v>0</v>
      </c>
    </row>
    <row r="50" spans="1:55" ht="30.75" customHeight="1">
      <c r="A50" s="51">
        <v>395003</v>
      </c>
      <c r="B50" s="52" t="s">
        <v>32</v>
      </c>
      <c r="C50" s="24">
        <f>'[14]RSD-NO by Site'!D46</f>
        <v>634</v>
      </c>
      <c r="D50" s="25">
        <f t="shared" si="35"/>
        <v>1489768.3053417148</v>
      </c>
      <c r="E50" s="25">
        <v>761.3587570202327</v>
      </c>
      <c r="F50" s="25">
        <f t="shared" si="71"/>
        <v>482701.45195082756</v>
      </c>
      <c r="G50" s="121">
        <f t="shared" si="37"/>
        <v>1972469.7572925424</v>
      </c>
      <c r="H50" s="134">
        <f>IFERROR(VLOOKUP(A50,'[4]RSD Opr + Type 5s'!$A$6:$E$77,5,FALSE),"na")</f>
        <v>15</v>
      </c>
      <c r="I50" s="121">
        <f t="shared" si="38"/>
        <v>22390.391138574811</v>
      </c>
      <c r="J50" s="134">
        <f>+IFERROR(VLOOKUP(A50,'[4]RSD Opr + Type 5s'!$A$6:$L$77,12,FALSE),"na")</f>
        <v>43</v>
      </c>
      <c r="K50" s="121">
        <f t="shared" si="39"/>
        <v>385114.7275834867</v>
      </c>
      <c r="L50" s="134">
        <f>+IFERROR(VLOOKUP(A50,'[4]RSD Opr + Type 5s'!$A$6:$V$77,22,FALSE),"na")</f>
        <v>11</v>
      </c>
      <c r="M50" s="121">
        <f t="shared" si="40"/>
        <v>180615.82185117016</v>
      </c>
      <c r="N50" s="121">
        <f t="shared" si="41"/>
        <v>588120.94057323167</v>
      </c>
      <c r="O50" s="121">
        <f t="shared" si="42"/>
        <v>2560590.6978657739</v>
      </c>
      <c r="P50" s="121">
        <f>+IFERROR(VLOOKUP(A50,'October midyear adj'!$A$128:$K$203,11,FALSE),"na")</f>
        <v>-94200.660197410965</v>
      </c>
      <c r="Q50" s="134">
        <f>+IFERROR(VLOOKUP(A50,'October midyear adj'!A128:E246,5,FALSE),"Na")</f>
        <v>-22</v>
      </c>
      <c r="R50" s="121">
        <f t="shared" si="43"/>
        <v>25755.337389152402</v>
      </c>
      <c r="S50" s="121">
        <f t="shared" si="44"/>
        <v>-68445.322808258556</v>
      </c>
      <c r="T50" s="121">
        <f>IFERROR(VLOOKUP(A50,'February midyear adj '!$A$128:$K$203,11,FALSE),"na")</f>
        <v>8563.6963815828149</v>
      </c>
      <c r="U50" s="121">
        <f t="shared" si="45"/>
        <v>-59881.626426675743</v>
      </c>
      <c r="V50" s="121">
        <f t="shared" si="46"/>
        <v>2500709.0714390981</v>
      </c>
      <c r="W50" s="27">
        <f t="shared" si="61"/>
        <v>-43762.408750184222</v>
      </c>
      <c r="X50" s="27">
        <f t="shared" si="62"/>
        <v>-6251.7726785977457</v>
      </c>
      <c r="Y50" s="27">
        <f t="shared" si="63"/>
        <v>-50014.181428781965</v>
      </c>
      <c r="Z50" s="26">
        <f t="shared" si="64"/>
        <v>2450694.8900103159</v>
      </c>
      <c r="AA50" s="27">
        <f>'[5]Adjusted Amounts'!I203</f>
        <v>-38409.203719952857</v>
      </c>
      <c r="AB50" s="27">
        <v>0</v>
      </c>
      <c r="AC50" s="121">
        <f t="shared" si="47"/>
        <v>2412286</v>
      </c>
      <c r="AD50" s="445">
        <f>+'[6]Table 5B1_RSD_Orleans'!P50+'[7]Table 5B1_RSD_Orleans'!W50+('[8]Table 5B1_RSD_Orleans'!W50*3)+'[9]Table 5B1_RSD_Orleans'!W50+'[10]Table 5B1_RSD_Orleans'!W50+'[11]Table 5B1_RSD_Orleans'!W50</f>
        <v>1694962</v>
      </c>
      <c r="AE50" s="445">
        <f t="shared" si="48"/>
        <v>717324</v>
      </c>
      <c r="AF50" s="445">
        <f t="shared" si="49"/>
        <v>179331</v>
      </c>
      <c r="AG50" s="121">
        <f t="shared" si="72"/>
        <v>2959512</v>
      </c>
      <c r="AH50" s="121">
        <v>0</v>
      </c>
      <c r="AI50" s="134">
        <f t="shared" si="73"/>
        <v>-22</v>
      </c>
      <c r="AJ50" s="121">
        <f t="shared" si="51"/>
        <v>-102696</v>
      </c>
      <c r="AK50" s="134">
        <f>+IFERROR(VLOOKUP(A50,'February midyear adj '!$A$85:$E$204,5,FALSE),"na")</f>
        <v>4</v>
      </c>
      <c r="AL50" s="121">
        <f t="shared" si="74"/>
        <v>9336</v>
      </c>
      <c r="AM50" s="121">
        <f t="shared" si="52"/>
        <v>-93360</v>
      </c>
      <c r="AN50" s="26">
        <f t="shared" si="53"/>
        <v>2866152</v>
      </c>
      <c r="AO50" s="27">
        <f t="shared" si="65"/>
        <v>-50157.66</v>
      </c>
      <c r="AP50" s="27">
        <f t="shared" si="66"/>
        <v>-7165.38</v>
      </c>
      <c r="AQ50" s="27">
        <f t="shared" si="67"/>
        <v>-57323.040000000001</v>
      </c>
      <c r="AR50" s="27">
        <f t="shared" si="68"/>
        <v>2808828.96</v>
      </c>
      <c r="AS50" s="27">
        <f>'[12]Adjusted Amounts'!Q203</f>
        <v>-37743</v>
      </c>
      <c r="AT50" s="27">
        <v>0</v>
      </c>
      <c r="AU50" s="455">
        <f t="shared" si="54"/>
        <v>2771085.96</v>
      </c>
      <c r="AV50" s="445">
        <f>+'[13]Table 5B1_RSD_Orleans'!Y50+'[7]Table 5B1_RSD_Orleans'!AK50+('[8]Table 5B1_RSD_Orleans'!AK50*3)+'[9]Table 5B1_RSD_Orleans'!AK50+'[10]Table 5B1_RSD_Orleans'!AK50+'[11]Table 5B1_RSD_Orleans'!AK50</f>
        <v>1910043.1279393942</v>
      </c>
      <c r="AW50" s="445">
        <f t="shared" si="55"/>
        <v>861042.83206060575</v>
      </c>
      <c r="AX50" s="461">
        <f t="shared" si="56"/>
        <v>215260.70801515144</v>
      </c>
      <c r="AY50" s="27">
        <f t="shared" si="75"/>
        <v>5183371.96</v>
      </c>
      <c r="AZ50" s="27">
        <f t="shared" si="58"/>
        <v>394591.70801515144</v>
      </c>
      <c r="BA50" s="27">
        <f t="shared" si="59"/>
        <v>84578</v>
      </c>
      <c r="BB50" s="27">
        <f t="shared" si="60"/>
        <v>130682.70801515144</v>
      </c>
      <c r="BC50" s="146">
        <f t="shared" si="34"/>
        <v>0</v>
      </c>
    </row>
    <row r="51" spans="1:55" ht="30.75" customHeight="1">
      <c r="A51" s="35">
        <v>395004</v>
      </c>
      <c r="B51" s="36" t="s">
        <v>33</v>
      </c>
      <c r="C51" s="31">
        <f>'[14]RSD-NO by Site'!D47</f>
        <v>475</v>
      </c>
      <c r="D51" s="32">
        <f t="shared" si="35"/>
        <v>1116151.3328664266</v>
      </c>
      <c r="E51" s="32">
        <v>1003.4698393033485</v>
      </c>
      <c r="F51" s="32">
        <f t="shared" si="71"/>
        <v>476648.17366909055</v>
      </c>
      <c r="G51" s="111">
        <f t="shared" si="37"/>
        <v>1592799.5065355171</v>
      </c>
      <c r="H51" s="115">
        <f>IFERROR(VLOOKUP(A51,'[4]RSD Opr + Type 5s'!$A$6:$E$77,5,FALSE),"na")</f>
        <v>13</v>
      </c>
      <c r="I51" s="111">
        <f t="shared" si="38"/>
        <v>19405.005653431501</v>
      </c>
      <c r="J51" s="115">
        <f>+IFERROR(VLOOKUP(A51,'[4]RSD Opr + Type 5s'!$A$6:$L$77,12,FALSE),"na")</f>
        <v>28</v>
      </c>
      <c r="K51" s="111">
        <f t="shared" si="39"/>
        <v>250772.38075203786</v>
      </c>
      <c r="L51" s="115">
        <f>+IFERROR(VLOOKUP(A51,'[4]RSD Opr + Type 5s'!$A$6:$V$77,22,FALSE),"na")</f>
        <v>9</v>
      </c>
      <c r="M51" s="111">
        <f t="shared" si="40"/>
        <v>147776.58151459374</v>
      </c>
      <c r="N51" s="111">
        <f t="shared" si="41"/>
        <v>417953.96792006312</v>
      </c>
      <c r="O51" s="111">
        <f t="shared" si="42"/>
        <v>2010753.4744555801</v>
      </c>
      <c r="P51" s="111">
        <f>+IFERROR(VLOOKUP(A51,'October midyear adj'!$A$128:$K$203,11,FALSE),"na")</f>
        <v>312153.18984214211</v>
      </c>
      <c r="Q51" s="115">
        <f>+IFERROR(VLOOKUP(A51,'October midyear adj'!A129:E247,5,FALSE),"Na")</f>
        <v>69</v>
      </c>
      <c r="R51" s="111">
        <f t="shared" si="43"/>
        <v>-80778.103629614343</v>
      </c>
      <c r="S51" s="111">
        <f t="shared" si="44"/>
        <v>231375.08621252776</v>
      </c>
      <c r="T51" s="111">
        <f>IFERROR(VLOOKUP(A51,'February midyear adj '!$A$128:$K$203,11,FALSE),"na")</f>
        <v>45239.592730745237</v>
      </c>
      <c r="U51" s="111">
        <f t="shared" si="45"/>
        <v>276614.67894327303</v>
      </c>
      <c r="V51" s="111">
        <f t="shared" si="46"/>
        <v>2287368.1533988533</v>
      </c>
      <c r="W51" s="34">
        <f t="shared" si="61"/>
        <v>-40028.942684479938</v>
      </c>
      <c r="X51" s="34">
        <f t="shared" si="62"/>
        <v>-5718.4203834971331</v>
      </c>
      <c r="Y51" s="34">
        <f t="shared" si="63"/>
        <v>-45747.363067977072</v>
      </c>
      <c r="Z51" s="33">
        <f t="shared" si="64"/>
        <v>2241620.7903308761</v>
      </c>
      <c r="AA51" s="34">
        <f>'[5]Adjusted Amounts'!I204</f>
        <v>-24019.310514481713</v>
      </c>
      <c r="AB51" s="34">
        <v>0</v>
      </c>
      <c r="AC51" s="111">
        <f t="shared" si="47"/>
        <v>2217601</v>
      </c>
      <c r="AD51" s="111">
        <f>+'[6]Table 5B1_RSD_Orleans'!P51+'[7]Table 5B1_RSD_Orleans'!W51+('[8]Table 5B1_RSD_Orleans'!W51*3)+'[9]Table 5B1_RSD_Orleans'!W51+'[10]Table 5B1_RSD_Orleans'!W51+'[11]Table 5B1_RSD_Orleans'!W51</f>
        <v>1284072</v>
      </c>
      <c r="AE51" s="111">
        <f t="shared" si="48"/>
        <v>933529</v>
      </c>
      <c r="AF51" s="111">
        <f t="shared" si="49"/>
        <v>233382.25</v>
      </c>
      <c r="AG51" s="111">
        <f t="shared" si="72"/>
        <v>2217300</v>
      </c>
      <c r="AH51" s="111">
        <v>0</v>
      </c>
      <c r="AI51" s="115">
        <f t="shared" si="73"/>
        <v>69</v>
      </c>
      <c r="AJ51" s="111">
        <f t="shared" si="51"/>
        <v>322092</v>
      </c>
      <c r="AK51" s="115">
        <f>+IFERROR(VLOOKUP(A51,'February midyear adj '!$A$85:$E$204,5,FALSE),"na")</f>
        <v>20</v>
      </c>
      <c r="AL51" s="111">
        <f t="shared" si="74"/>
        <v>46680</v>
      </c>
      <c r="AM51" s="111">
        <f t="shared" si="52"/>
        <v>368772</v>
      </c>
      <c r="AN51" s="33">
        <f t="shared" si="53"/>
        <v>2586072</v>
      </c>
      <c r="AO51" s="34">
        <f t="shared" si="65"/>
        <v>-45256.26</v>
      </c>
      <c r="AP51" s="34">
        <f t="shared" si="66"/>
        <v>-6465.18</v>
      </c>
      <c r="AQ51" s="34">
        <f t="shared" si="67"/>
        <v>-51721.440000000002</v>
      </c>
      <c r="AR51" s="34">
        <f t="shared" si="68"/>
        <v>2534350.56</v>
      </c>
      <c r="AS51" s="34">
        <f>'[12]Adjusted Amounts'!Q204</f>
        <v>-20966</v>
      </c>
      <c r="AT51" s="34">
        <v>0</v>
      </c>
      <c r="AU51" s="456">
        <f t="shared" si="54"/>
        <v>2513384.56</v>
      </c>
      <c r="AV51" s="111">
        <f>+'[13]Table 5B1_RSD_Orleans'!Y51+'[7]Table 5B1_RSD_Orleans'!AK51+('[8]Table 5B1_RSD_Orleans'!AK51*3)+'[9]Table 5B1_RSD_Orleans'!AK51+'[10]Table 5B1_RSD_Orleans'!AK51+'[11]Table 5B1_RSD_Orleans'!AK51</f>
        <v>1435899.9545454546</v>
      </c>
      <c r="AW51" s="111">
        <f t="shared" si="55"/>
        <v>1077484.6054545455</v>
      </c>
      <c r="AX51" s="456">
        <f t="shared" si="56"/>
        <v>269371.15136363637</v>
      </c>
      <c r="AY51" s="34">
        <f t="shared" si="75"/>
        <v>4730985.5600000005</v>
      </c>
      <c r="AZ51" s="34">
        <f t="shared" si="58"/>
        <v>502753.40136363637</v>
      </c>
      <c r="BA51" s="34">
        <f t="shared" si="59"/>
        <v>105838</v>
      </c>
      <c r="BB51" s="34">
        <f t="shared" si="60"/>
        <v>163533.15136363637</v>
      </c>
      <c r="BC51" s="146">
        <f t="shared" si="34"/>
        <v>0</v>
      </c>
    </row>
    <row r="52" spans="1:55" ht="30.75" customHeight="1">
      <c r="A52" s="35">
        <v>395005</v>
      </c>
      <c r="B52" s="36" t="s">
        <v>34</v>
      </c>
      <c r="C52" s="31">
        <f>'[14]RSD-NO by Site'!D48</f>
        <v>879</v>
      </c>
      <c r="D52" s="32">
        <f t="shared" si="35"/>
        <v>2065467.4138728189</v>
      </c>
      <c r="E52" s="32">
        <v>592.05529010815155</v>
      </c>
      <c r="F52" s="32">
        <f t="shared" si="71"/>
        <v>520416.60000506521</v>
      </c>
      <c r="G52" s="111">
        <f t="shared" si="37"/>
        <v>2585884.013877884</v>
      </c>
      <c r="H52" s="115">
        <f>IFERROR(VLOOKUP(A52,'[4]RSD Opr + Type 5s'!$A$6:$E$77,5,FALSE),"na")</f>
        <v>11</v>
      </c>
      <c r="I52" s="111">
        <f t="shared" si="38"/>
        <v>16419.620168288195</v>
      </c>
      <c r="J52" s="115">
        <f>+IFERROR(VLOOKUP(A52,'[4]RSD Opr + Type 5s'!$A$6:$L$77,12,FALSE),"na")</f>
        <v>112</v>
      </c>
      <c r="K52" s="111">
        <f t="shared" si="39"/>
        <v>1003089.5230081514</v>
      </c>
      <c r="L52" s="115">
        <f>+IFERROR(VLOOKUP(A52,'[4]RSD Opr + Type 5s'!$A$6:$V$77,22,FALSE),"na")</f>
        <v>24</v>
      </c>
      <c r="M52" s="111">
        <f t="shared" si="40"/>
        <v>394070.88403891667</v>
      </c>
      <c r="N52" s="111">
        <f t="shared" si="41"/>
        <v>1413580.0272153565</v>
      </c>
      <c r="O52" s="111">
        <f t="shared" si="42"/>
        <v>3999464.0410932405</v>
      </c>
      <c r="P52" s="111">
        <f>+IFERROR(VLOOKUP(A52,'October midyear adj'!$A$128:$K$203,11,FALSE),"na")</f>
        <v>1209088.148820522</v>
      </c>
      <c r="Q52" s="115">
        <f>+IFERROR(VLOOKUP(A52,'October midyear adj'!A130:E248,5,FALSE),"Na")</f>
        <v>294</v>
      </c>
      <c r="R52" s="111">
        <f t="shared" si="43"/>
        <v>-344184.96329140029</v>
      </c>
      <c r="S52" s="111">
        <f t="shared" si="44"/>
        <v>864903.18552912166</v>
      </c>
      <c r="T52" s="111">
        <f>IFERROR(VLOOKUP(A52,'February midyear adj '!$A$128:$K$203,11,FALSE),"na")</f>
        <v>-6168.8170858189897</v>
      </c>
      <c r="U52" s="111">
        <f t="shared" si="45"/>
        <v>858734.36844330269</v>
      </c>
      <c r="V52" s="111">
        <f t="shared" si="46"/>
        <v>4858198.4095365433</v>
      </c>
      <c r="W52" s="34">
        <f t="shared" si="61"/>
        <v>-85018.472166889522</v>
      </c>
      <c r="X52" s="34">
        <f t="shared" si="62"/>
        <v>-12145.496023841359</v>
      </c>
      <c r="Y52" s="34">
        <f t="shared" si="63"/>
        <v>-97163.968190730884</v>
      </c>
      <c r="Z52" s="33">
        <f t="shared" si="64"/>
        <v>4761034.4413458128</v>
      </c>
      <c r="AA52" s="34">
        <f>'[5]Adjusted Amounts'!I205</f>
        <v>-103721.21890892257</v>
      </c>
      <c r="AB52" s="34">
        <v>0</v>
      </c>
      <c r="AC52" s="111">
        <f t="shared" si="47"/>
        <v>4657313</v>
      </c>
      <c r="AD52" s="111">
        <f>+'[6]Table 5B1_RSD_Orleans'!P52+'[7]Table 5B1_RSD_Orleans'!W52+('[8]Table 5B1_RSD_Orleans'!W52*3)+'[9]Table 5B1_RSD_Orleans'!W52+'[10]Table 5B1_RSD_Orleans'!W52+'[11]Table 5B1_RSD_Orleans'!W52</f>
        <v>2328512</v>
      </c>
      <c r="AE52" s="111">
        <f t="shared" si="48"/>
        <v>2328801</v>
      </c>
      <c r="AF52" s="111">
        <f t="shared" si="49"/>
        <v>582200.25</v>
      </c>
      <c r="AG52" s="111">
        <f t="shared" si="72"/>
        <v>4103172</v>
      </c>
      <c r="AH52" s="111">
        <v>0</v>
      </c>
      <c r="AI52" s="115">
        <f t="shared" si="73"/>
        <v>294</v>
      </c>
      <c r="AJ52" s="111">
        <f t="shared" si="51"/>
        <v>1372392</v>
      </c>
      <c r="AK52" s="115">
        <f>+IFERROR(VLOOKUP(A52,'February midyear adj '!$A$85:$E$204,5,FALSE),"na")</f>
        <v>-3</v>
      </c>
      <c r="AL52" s="111">
        <f t="shared" si="74"/>
        <v>-7002</v>
      </c>
      <c r="AM52" s="111">
        <f t="shared" si="52"/>
        <v>1365390</v>
      </c>
      <c r="AN52" s="33">
        <f t="shared" si="53"/>
        <v>5468562</v>
      </c>
      <c r="AO52" s="34">
        <f t="shared" si="65"/>
        <v>-95699.835000000006</v>
      </c>
      <c r="AP52" s="34">
        <f t="shared" si="66"/>
        <v>-13671.405000000001</v>
      </c>
      <c r="AQ52" s="34">
        <f t="shared" si="67"/>
        <v>-109371.24</v>
      </c>
      <c r="AR52" s="34">
        <f t="shared" si="68"/>
        <v>5359190.76</v>
      </c>
      <c r="AS52" s="34">
        <f>'[12]Adjusted Amounts'!Q205</f>
        <v>-94427.5</v>
      </c>
      <c r="AT52" s="34">
        <v>0</v>
      </c>
      <c r="AU52" s="456">
        <f t="shared" si="54"/>
        <v>5264763.26</v>
      </c>
      <c r="AV52" s="111">
        <f>+'[13]Table 5B1_RSD_Orleans'!Y52+'[7]Table 5B1_RSD_Orleans'!AK52+('[8]Table 5B1_RSD_Orleans'!AK52*3)+'[9]Table 5B1_RSD_Orleans'!AK52+'[10]Table 5B1_RSD_Orleans'!AK52+'[11]Table 5B1_RSD_Orleans'!AK52</f>
        <v>2620083.9274848485</v>
      </c>
      <c r="AW52" s="111">
        <f t="shared" si="55"/>
        <v>2644679.3325151512</v>
      </c>
      <c r="AX52" s="456">
        <f t="shared" si="56"/>
        <v>661169.83312878781</v>
      </c>
      <c r="AY52" s="34">
        <f t="shared" si="75"/>
        <v>9922076.2599999998</v>
      </c>
      <c r="AZ52" s="34">
        <f t="shared" si="58"/>
        <v>1243370.0831287878</v>
      </c>
      <c r="BA52" s="34">
        <f t="shared" si="59"/>
        <v>259779</v>
      </c>
      <c r="BB52" s="34">
        <f t="shared" si="60"/>
        <v>401390.83312878781</v>
      </c>
      <c r="BC52" s="146">
        <f t="shared" si="34"/>
        <v>0</v>
      </c>
    </row>
    <row r="53" spans="1:55" ht="30.75" customHeight="1">
      <c r="A53" s="35">
        <v>395007</v>
      </c>
      <c r="B53" s="36" t="s">
        <v>35</v>
      </c>
      <c r="C53" s="31">
        <f>'[14]RSD-NO by Site'!D49</f>
        <v>261</v>
      </c>
      <c r="D53" s="32">
        <f t="shared" si="35"/>
        <v>613295.78500660497</v>
      </c>
      <c r="E53" s="32">
        <v>907.69666061705993</v>
      </c>
      <c r="F53" s="32">
        <f t="shared" si="71"/>
        <v>236908.82842105263</v>
      </c>
      <c r="G53" s="111">
        <f t="shared" si="37"/>
        <v>850204.61342765763</v>
      </c>
      <c r="H53" s="115">
        <f>IFERROR(VLOOKUP(A53,'[4]RSD Opr + Type 5s'!$A$6:$E$77,5,FALSE),"na")</f>
        <v>1</v>
      </c>
      <c r="I53" s="111">
        <f t="shared" si="38"/>
        <v>1492.692742571654</v>
      </c>
      <c r="J53" s="115">
        <f>+IFERROR(VLOOKUP(A53,'[4]RSD Opr + Type 5s'!$A$6:$L$77,12,FALSE),"na")</f>
        <v>28</v>
      </c>
      <c r="K53" s="111">
        <f t="shared" si="39"/>
        <v>250772.38075203786</v>
      </c>
      <c r="L53" s="115">
        <f>+IFERROR(VLOOKUP(A53,'[4]RSD Opr + Type 5s'!$A$6:$V$77,22,FALSE),"na")</f>
        <v>7</v>
      </c>
      <c r="M53" s="111">
        <f t="shared" si="40"/>
        <v>114937.34117801736</v>
      </c>
      <c r="N53" s="111">
        <f t="shared" si="41"/>
        <v>367202.41467262688</v>
      </c>
      <c r="O53" s="111">
        <f t="shared" si="42"/>
        <v>1217407.0281002845</v>
      </c>
      <c r="P53" s="111">
        <f>+IFERROR(VLOOKUP(A53,'October midyear adj'!$A$128:$K$203,11,FALSE),"na")</f>
        <v>-168271.07158675292</v>
      </c>
      <c r="Q53" s="115">
        <f>+IFERROR(VLOOKUP(A53,'October midyear adj'!A131:E249,5,FALSE),"Na")</f>
        <v>-38</v>
      </c>
      <c r="R53" s="111">
        <f t="shared" si="43"/>
        <v>44486.491853990512</v>
      </c>
      <c r="S53" s="111">
        <f t="shared" si="44"/>
        <v>-123784.57973276242</v>
      </c>
      <c r="T53" s="111">
        <f>IFERROR(VLOOKUP(A53,'February midyear adj '!$A$128:$K$203,11,FALSE),"na")</f>
        <v>24355.023519135291</v>
      </c>
      <c r="U53" s="111">
        <f t="shared" si="45"/>
        <v>-99429.556213627133</v>
      </c>
      <c r="V53" s="111">
        <f t="shared" si="46"/>
        <v>1117977.4718866574</v>
      </c>
      <c r="W53" s="34">
        <f t="shared" si="61"/>
        <v>-19564.605758016507</v>
      </c>
      <c r="X53" s="34">
        <f t="shared" si="62"/>
        <v>-2794.9436797166436</v>
      </c>
      <c r="Y53" s="34">
        <f t="shared" si="63"/>
        <v>-22359.549437733149</v>
      </c>
      <c r="Z53" s="33">
        <f t="shared" si="64"/>
        <v>1095617.9224489243</v>
      </c>
      <c r="AA53" s="34">
        <f>'[5]Adjusted Amounts'!I206</f>
        <v>-17927.028628168486</v>
      </c>
      <c r="AB53" s="34">
        <v>0</v>
      </c>
      <c r="AC53" s="111">
        <f t="shared" si="47"/>
        <v>1077691</v>
      </c>
      <c r="AD53" s="111">
        <f>+'[6]Table 5B1_RSD_Orleans'!P53+'[7]Table 5B1_RSD_Orleans'!W53+('[8]Table 5B1_RSD_Orleans'!W53*3)+'[9]Table 5B1_RSD_Orleans'!W53+'[10]Table 5B1_RSD_Orleans'!W53+'[11]Table 5B1_RSD_Orleans'!W53</f>
        <v>670212</v>
      </c>
      <c r="AE53" s="111">
        <f t="shared" si="48"/>
        <v>407479</v>
      </c>
      <c r="AF53" s="111">
        <f t="shared" si="49"/>
        <v>101869.75</v>
      </c>
      <c r="AG53" s="111">
        <f t="shared" si="72"/>
        <v>1218348</v>
      </c>
      <c r="AH53" s="111">
        <v>0</v>
      </c>
      <c r="AI53" s="115">
        <f t="shared" si="73"/>
        <v>-38</v>
      </c>
      <c r="AJ53" s="111">
        <f t="shared" si="51"/>
        <v>-177384</v>
      </c>
      <c r="AK53" s="115">
        <f>+IFERROR(VLOOKUP(A53,'February midyear adj '!$A$85:$E$204,5,FALSE),"na")</f>
        <v>11</v>
      </c>
      <c r="AL53" s="111">
        <f t="shared" si="74"/>
        <v>25674</v>
      </c>
      <c r="AM53" s="111">
        <f t="shared" si="52"/>
        <v>-151710</v>
      </c>
      <c r="AN53" s="33">
        <f t="shared" si="53"/>
        <v>1066638</v>
      </c>
      <c r="AO53" s="34">
        <f t="shared" si="65"/>
        <v>-18666.165000000001</v>
      </c>
      <c r="AP53" s="34">
        <f t="shared" si="66"/>
        <v>-2666.5950000000003</v>
      </c>
      <c r="AQ53" s="34">
        <f t="shared" si="67"/>
        <v>-21332.760000000002</v>
      </c>
      <c r="AR53" s="34">
        <f t="shared" si="68"/>
        <v>1045305.24</v>
      </c>
      <c r="AS53" s="34">
        <f>'[12]Adjusted Amounts'!Q206</f>
        <v>21</v>
      </c>
      <c r="AT53" s="34">
        <v>0</v>
      </c>
      <c r="AU53" s="456">
        <f t="shared" si="54"/>
        <v>1045326.24</v>
      </c>
      <c r="AV53" s="111">
        <f>+'[13]Table 5B1_RSD_Orleans'!Y53+'[7]Table 5B1_RSD_Orleans'!AK53+('[8]Table 5B1_RSD_Orleans'!AK53*3)+'[9]Table 5B1_RSD_Orleans'!AK53+'[10]Table 5B1_RSD_Orleans'!AK53+'[11]Table 5B1_RSD_Orleans'!AK53</f>
        <v>722118.87509090907</v>
      </c>
      <c r="AW53" s="111">
        <f t="shared" si="55"/>
        <v>323207.36490909092</v>
      </c>
      <c r="AX53" s="456">
        <f t="shared" si="56"/>
        <v>80801.841227272729</v>
      </c>
      <c r="AY53" s="34">
        <f t="shared" si="75"/>
        <v>2123017.2400000002</v>
      </c>
      <c r="AZ53" s="34">
        <f t="shared" si="58"/>
        <v>182671.59122727273</v>
      </c>
      <c r="BA53" s="34">
        <f t="shared" si="59"/>
        <v>31748</v>
      </c>
      <c r="BB53" s="34">
        <f t="shared" si="60"/>
        <v>49053.841227272729</v>
      </c>
      <c r="BC53" s="146">
        <f t="shared" si="34"/>
        <v>0</v>
      </c>
    </row>
    <row r="54" spans="1:55" ht="30.75" customHeight="1">
      <c r="A54" s="48">
        <v>397001</v>
      </c>
      <c r="B54" s="49" t="s">
        <v>36</v>
      </c>
      <c r="C54" s="50">
        <f>'[14]RSD-NO by Site'!D50</f>
        <v>483</v>
      </c>
      <c r="D54" s="40">
        <f t="shared" si="35"/>
        <v>1134949.6711041769</v>
      </c>
      <c r="E54" s="40">
        <v>741.72363820787723</v>
      </c>
      <c r="F54" s="40">
        <f t="shared" si="71"/>
        <v>358252.51725440472</v>
      </c>
      <c r="G54" s="120">
        <f t="shared" si="37"/>
        <v>1493202.1883585816</v>
      </c>
      <c r="H54" s="135">
        <f>IFERROR(VLOOKUP(A54,'[4]RSD Opr + Type 5s'!$A$6:$E$77,5,FALSE),"na")</f>
        <v>5</v>
      </c>
      <c r="I54" s="120">
        <f t="shared" si="38"/>
        <v>7463.4637128582699</v>
      </c>
      <c r="J54" s="135">
        <f>+IFERROR(VLOOKUP(A54,'[4]RSD Opr + Type 5s'!$A$6:$L$77,12,FALSE),"na")</f>
        <v>30</v>
      </c>
      <c r="K54" s="120">
        <f t="shared" si="39"/>
        <v>268684.69366289774</v>
      </c>
      <c r="L54" s="135">
        <f>+IFERROR(VLOOKUP(A54,'[4]RSD Opr + Type 5s'!$A$6:$V$77,22,FALSE),"na")</f>
        <v>6</v>
      </c>
      <c r="M54" s="120">
        <f t="shared" si="40"/>
        <v>98517.721009729168</v>
      </c>
      <c r="N54" s="120">
        <f t="shared" si="41"/>
        <v>374665.87838548515</v>
      </c>
      <c r="O54" s="120">
        <f t="shared" si="42"/>
        <v>1867868.0667440668</v>
      </c>
      <c r="P54" s="120">
        <f>+IFERROR(VLOOKUP(A54,'October midyear adj'!$A$128:$K$203,11,FALSE),"na")</f>
        <v>-55408.76993572768</v>
      </c>
      <c r="Q54" s="135">
        <f>+IFERROR(VLOOKUP(A54,'October midyear adj'!A132:E250,5,FALSE),"Na")</f>
        <v>-13</v>
      </c>
      <c r="R54" s="120">
        <f t="shared" si="43"/>
        <v>15219.063002680963</v>
      </c>
      <c r="S54" s="120">
        <f t="shared" si="44"/>
        <v>-40189.70693304672</v>
      </c>
      <c r="T54" s="120">
        <f>IFERROR(VLOOKUP(A54,'February midyear adj '!$A$128:$K$203,11,FALSE),"na")</f>
        <v>-49015.450327759099</v>
      </c>
      <c r="U54" s="120">
        <f t="shared" si="45"/>
        <v>-89205.15726080582</v>
      </c>
      <c r="V54" s="120">
        <f t="shared" si="46"/>
        <v>1778662.9094832609</v>
      </c>
      <c r="W54" s="42">
        <f t="shared" si="61"/>
        <v>-31126.600915957068</v>
      </c>
      <c r="X54" s="42">
        <f t="shared" si="62"/>
        <v>-4446.6572737081524</v>
      </c>
      <c r="Y54" s="42">
        <f t="shared" si="63"/>
        <v>-35573.258189665219</v>
      </c>
      <c r="Z54" s="41">
        <f t="shared" si="64"/>
        <v>1743089.6512935958</v>
      </c>
      <c r="AA54" s="42">
        <f>'[5]Adjusted Amounts'!I207</f>
        <v>0</v>
      </c>
      <c r="AB54" s="42">
        <v>0</v>
      </c>
      <c r="AC54" s="120">
        <f t="shared" si="47"/>
        <v>1743090</v>
      </c>
      <c r="AD54" s="120">
        <f>+'[6]Table 5B1_RSD_Orleans'!P54+'[7]Table 5B1_RSD_Orleans'!W54+('[8]Table 5B1_RSD_Orleans'!W54*3)+'[9]Table 5B1_RSD_Orleans'!W54+'[10]Table 5B1_RSD_Orleans'!W54+'[11]Table 5B1_RSD_Orleans'!W54</f>
        <v>1224168</v>
      </c>
      <c r="AE54" s="120">
        <f t="shared" si="48"/>
        <v>518922</v>
      </c>
      <c r="AF54" s="120">
        <f t="shared" si="49"/>
        <v>129730.5</v>
      </c>
      <c r="AG54" s="120">
        <f t="shared" si="72"/>
        <v>2254644</v>
      </c>
      <c r="AH54" s="120">
        <v>0</v>
      </c>
      <c r="AI54" s="135">
        <f t="shared" si="73"/>
        <v>-13</v>
      </c>
      <c r="AJ54" s="120">
        <f t="shared" si="51"/>
        <v>-60684</v>
      </c>
      <c r="AK54" s="135">
        <f>+IFERROR(VLOOKUP(A54,'February midyear adj '!$A$85:$E$204,5,FALSE),"na")</f>
        <v>-23</v>
      </c>
      <c r="AL54" s="120">
        <f t="shared" si="74"/>
        <v>-53682</v>
      </c>
      <c r="AM54" s="120">
        <f t="shared" si="52"/>
        <v>-114366</v>
      </c>
      <c r="AN54" s="41">
        <f t="shared" si="53"/>
        <v>2140278</v>
      </c>
      <c r="AO54" s="42">
        <f t="shared" si="65"/>
        <v>-37454.865000000005</v>
      </c>
      <c r="AP54" s="42">
        <f t="shared" si="66"/>
        <v>-5350.6949999999997</v>
      </c>
      <c r="AQ54" s="42">
        <f t="shared" si="67"/>
        <v>-42805.560000000005</v>
      </c>
      <c r="AR54" s="42">
        <f t="shared" si="68"/>
        <v>2097472.44</v>
      </c>
      <c r="AS54" s="42">
        <f>'[12]Adjusted Amounts'!Q207</f>
        <v>0</v>
      </c>
      <c r="AT54" s="42">
        <v>0</v>
      </c>
      <c r="AU54" s="457">
        <f t="shared" si="54"/>
        <v>2097472.44</v>
      </c>
      <c r="AV54" s="120">
        <f>+'[13]Table 5B1_RSD_Orleans'!Y54+'[7]Table 5B1_RSD_Orleans'!AK54+('[8]Table 5B1_RSD_Orleans'!AK54*3)+'[9]Table 5B1_RSD_Orleans'!AK54+'[10]Table 5B1_RSD_Orleans'!AK54+'[11]Table 5B1_RSD_Orleans'!AK54</f>
        <v>1474296.3716363637</v>
      </c>
      <c r="AW54" s="120">
        <f t="shared" si="55"/>
        <v>623176.06836363627</v>
      </c>
      <c r="AX54" s="457">
        <f t="shared" si="56"/>
        <v>155794.01709090907</v>
      </c>
      <c r="AY54" s="42">
        <f t="shared" si="75"/>
        <v>3840562.44</v>
      </c>
      <c r="AZ54" s="42">
        <f t="shared" si="58"/>
        <v>285524.51709090907</v>
      </c>
      <c r="BA54" s="42">
        <f t="shared" si="59"/>
        <v>61213</v>
      </c>
      <c r="BB54" s="42">
        <f t="shared" si="60"/>
        <v>94581.017090909067</v>
      </c>
      <c r="BC54" s="146">
        <f t="shared" si="34"/>
        <v>0</v>
      </c>
    </row>
    <row r="55" spans="1:55" ht="30.75" customHeight="1">
      <c r="A55" s="51">
        <v>398001</v>
      </c>
      <c r="B55" s="52" t="s">
        <v>37</v>
      </c>
      <c r="C55" s="24">
        <f>'[14]RSD-NO by Site'!D51</f>
        <v>603</v>
      </c>
      <c r="D55" s="25">
        <f t="shared" si="35"/>
        <v>1416924.7446704321</v>
      </c>
      <c r="E55" s="25">
        <v>643.94778836855926</v>
      </c>
      <c r="F55" s="25">
        <f t="shared" si="71"/>
        <v>388300.51638624124</v>
      </c>
      <c r="G55" s="121">
        <f t="shared" si="37"/>
        <v>1805225.2610566732</v>
      </c>
      <c r="H55" s="134">
        <f>IFERROR(VLOOKUP(A55,'[4]RSD Opr + Type 5s'!$A$6:$E$77,5,FALSE),"na")</f>
        <v>10</v>
      </c>
      <c r="I55" s="121">
        <f t="shared" si="38"/>
        <v>14926.92742571654</v>
      </c>
      <c r="J55" s="134">
        <f>+IFERROR(VLOOKUP(A55,'[4]RSD Opr + Type 5s'!$A$6:$L$77,12,FALSE),"na")</f>
        <v>38</v>
      </c>
      <c r="K55" s="121">
        <f t="shared" si="39"/>
        <v>340333.94530633709</v>
      </c>
      <c r="L55" s="134">
        <f>+IFERROR(VLOOKUP(A55,'[4]RSD Opr + Type 5s'!$A$6:$V$77,22,FALSE),"na")</f>
        <v>20</v>
      </c>
      <c r="M55" s="121">
        <f t="shared" si="40"/>
        <v>328392.40336576389</v>
      </c>
      <c r="N55" s="121">
        <f t="shared" si="41"/>
        <v>683653.27609781758</v>
      </c>
      <c r="O55" s="121">
        <f t="shared" si="42"/>
        <v>2488878.5371544911</v>
      </c>
      <c r="P55" s="121">
        <f>+IFERROR(VLOOKUP(A55,'October midyear adj'!$A$128:$K$203,11,FALSE),"na")</f>
        <v>495568.02943462838</v>
      </c>
      <c r="Q55" s="134">
        <f>+IFERROR(VLOOKUP(A55,'October midyear adj'!A133:E251,5,FALSE),"Na")</f>
        <v>119</v>
      </c>
      <c r="R55" s="121">
        <f t="shared" si="43"/>
        <v>-139312.96133223345</v>
      </c>
      <c r="S55" s="121">
        <f t="shared" si="44"/>
        <v>356255.06810239493</v>
      </c>
      <c r="T55" s="121">
        <f>IFERROR(VLOOKUP(A55,'February midyear adj '!$A$128:$K$203,11,FALSE),"na")</f>
        <v>-16657.748888558937</v>
      </c>
      <c r="U55" s="121">
        <f t="shared" si="45"/>
        <v>339597.31921383599</v>
      </c>
      <c r="V55" s="121">
        <f t="shared" si="46"/>
        <v>2828475.856368327</v>
      </c>
      <c r="W55" s="27">
        <f t="shared" si="61"/>
        <v>-49498.327486445727</v>
      </c>
      <c r="X55" s="27">
        <f t="shared" si="62"/>
        <v>-7071.1896409208175</v>
      </c>
      <c r="Y55" s="27">
        <f t="shared" si="63"/>
        <v>-56569.517127366547</v>
      </c>
      <c r="Z55" s="26">
        <f t="shared" si="64"/>
        <v>2771906.3392409603</v>
      </c>
      <c r="AA55" s="27">
        <f>'[5]Adjusted Amounts'!I208</f>
        <v>-8439.5432957393314</v>
      </c>
      <c r="AB55" s="27">
        <v>0</v>
      </c>
      <c r="AC55" s="121">
        <f t="shared" si="47"/>
        <v>2763467</v>
      </c>
      <c r="AD55" s="445">
        <f>+'[6]Table 5B1_RSD_Orleans'!P55+'[7]Table 5B1_RSD_Orleans'!W55+('[8]Table 5B1_RSD_Orleans'!W55*3)+'[9]Table 5B1_RSD_Orleans'!W55+'[10]Table 5B1_RSD_Orleans'!W55+'[11]Table 5B1_RSD_Orleans'!W55</f>
        <v>1831476</v>
      </c>
      <c r="AE55" s="445">
        <f t="shared" si="48"/>
        <v>931991</v>
      </c>
      <c r="AF55" s="445">
        <f t="shared" si="49"/>
        <v>232997.75</v>
      </c>
      <c r="AG55" s="121">
        <f t="shared" si="72"/>
        <v>2814804</v>
      </c>
      <c r="AH55" s="121">
        <v>0</v>
      </c>
      <c r="AI55" s="134">
        <f t="shared" si="73"/>
        <v>119</v>
      </c>
      <c r="AJ55" s="121">
        <f t="shared" si="51"/>
        <v>555492</v>
      </c>
      <c r="AK55" s="134">
        <f>+IFERROR(VLOOKUP(A55,'February midyear adj '!$A$85:$E$204,5,FALSE),"na")</f>
        <v>-8</v>
      </c>
      <c r="AL55" s="121">
        <f t="shared" si="74"/>
        <v>-18672</v>
      </c>
      <c r="AM55" s="121">
        <f t="shared" si="52"/>
        <v>536820</v>
      </c>
      <c r="AN55" s="26">
        <f t="shared" si="53"/>
        <v>3351624</v>
      </c>
      <c r="AO55" s="27">
        <f t="shared" si="65"/>
        <v>-58653.420000000006</v>
      </c>
      <c r="AP55" s="27">
        <f t="shared" si="66"/>
        <v>-8379.06</v>
      </c>
      <c r="AQ55" s="27">
        <f t="shared" si="67"/>
        <v>-67032.48000000001</v>
      </c>
      <c r="AR55" s="27">
        <f t="shared" si="68"/>
        <v>3284591.52</v>
      </c>
      <c r="AS55" s="27">
        <f>'[12]Adjusted Amounts'!Q208</f>
        <v>0</v>
      </c>
      <c r="AT55" s="27">
        <v>0</v>
      </c>
      <c r="AU55" s="455">
        <f t="shared" si="54"/>
        <v>3284591.52</v>
      </c>
      <c r="AV55" s="445">
        <f>+'[13]Table 5B1_RSD_Orleans'!Y55+'[7]Table 5B1_RSD_Orleans'!AK55+('[8]Table 5B1_RSD_Orleans'!AK55*3)+'[9]Table 5B1_RSD_Orleans'!AK55+'[10]Table 5B1_RSD_Orleans'!AK55+'[11]Table 5B1_RSD_Orleans'!AK55</f>
        <v>2141517.1898181816</v>
      </c>
      <c r="AW55" s="445">
        <f t="shared" si="55"/>
        <v>1143074.3301818185</v>
      </c>
      <c r="AX55" s="461">
        <f t="shared" si="56"/>
        <v>285768.58254545461</v>
      </c>
      <c r="AY55" s="27">
        <f t="shared" si="75"/>
        <v>6048058.5199999996</v>
      </c>
      <c r="AZ55" s="27">
        <f t="shared" si="58"/>
        <v>518766.33254545461</v>
      </c>
      <c r="BA55" s="27">
        <f t="shared" si="59"/>
        <v>112281</v>
      </c>
      <c r="BB55" s="27">
        <f t="shared" si="60"/>
        <v>173487.58254545461</v>
      </c>
      <c r="BC55" s="146">
        <f t="shared" si="34"/>
        <v>0</v>
      </c>
    </row>
    <row r="56" spans="1:55" ht="29.25">
      <c r="A56" s="35">
        <v>398002</v>
      </c>
      <c r="B56" s="36" t="s">
        <v>38</v>
      </c>
      <c r="C56" s="31">
        <f>'[14]RSD-NO by Site'!D52</f>
        <v>763</v>
      </c>
      <c r="D56" s="32">
        <f t="shared" si="35"/>
        <v>1792891.5094254389</v>
      </c>
      <c r="E56" s="32">
        <v>724.79250196607131</v>
      </c>
      <c r="F56" s="32">
        <f t="shared" si="71"/>
        <v>553016.67900011246</v>
      </c>
      <c r="G56" s="111">
        <f t="shared" si="37"/>
        <v>2345908.1884255512</v>
      </c>
      <c r="H56" s="115">
        <f>IFERROR(VLOOKUP(A56,'[4]RSD Opr + Type 5s'!$A$6:$E$77,5,FALSE),"na")</f>
        <v>13</v>
      </c>
      <c r="I56" s="111">
        <f t="shared" si="38"/>
        <v>19405.005653431501</v>
      </c>
      <c r="J56" s="115">
        <f>+IFERROR(VLOOKUP(A56,'[4]RSD Opr + Type 5s'!$A$6:$L$77,12,FALSE),"na")</f>
        <v>80</v>
      </c>
      <c r="K56" s="111">
        <f t="shared" si="39"/>
        <v>716492.51643439394</v>
      </c>
      <c r="L56" s="115">
        <f>+IFERROR(VLOOKUP(A56,'[4]RSD Opr + Type 5s'!$A$6:$V$77,22,FALSE),"na")</f>
        <v>27</v>
      </c>
      <c r="M56" s="111">
        <f t="shared" si="40"/>
        <v>443329.74454378127</v>
      </c>
      <c r="N56" s="111">
        <f t="shared" si="41"/>
        <v>1179227.2666316067</v>
      </c>
      <c r="O56" s="111">
        <f t="shared" si="42"/>
        <v>3525135.4550571581</v>
      </c>
      <c r="P56" s="111">
        <f>+IFERROR(VLOOKUP(A56,'October midyear adj'!$A$128:$K$203,11,FALSE),"na")</f>
        <v>441509.32131667365</v>
      </c>
      <c r="Q56" s="115">
        <f>+IFERROR(VLOOKUP(A56,'October midyear adj'!A134:E252,5,FALSE),"Na")</f>
        <v>104</v>
      </c>
      <c r="R56" s="111">
        <f t="shared" si="43"/>
        <v>-121752.5040214477</v>
      </c>
      <c r="S56" s="111">
        <f t="shared" si="44"/>
        <v>319756.81729522592</v>
      </c>
      <c r="T56" s="111">
        <f>IFERROR(VLOOKUP(A56,'February midyear adj '!$A$128:$K$203,11,FALSE),"na")</f>
        <v>23349.050646554853</v>
      </c>
      <c r="U56" s="111">
        <f t="shared" si="45"/>
        <v>343105.86794178077</v>
      </c>
      <c r="V56" s="111">
        <f t="shared" si="46"/>
        <v>3868241.3229989391</v>
      </c>
      <c r="W56" s="34">
        <f t="shared" si="61"/>
        <v>-67694.223152481442</v>
      </c>
      <c r="X56" s="34">
        <f t="shared" si="62"/>
        <v>-9670.6033074973475</v>
      </c>
      <c r="Y56" s="34">
        <f t="shared" si="63"/>
        <v>-77364.826459978794</v>
      </c>
      <c r="Z56" s="33">
        <f t="shared" si="64"/>
        <v>3790876.4965389604</v>
      </c>
      <c r="AA56" s="34">
        <f>'[5]Adjusted Amounts'!I209</f>
        <v>5965.2293969065395</v>
      </c>
      <c r="AB56" s="34">
        <v>0</v>
      </c>
      <c r="AC56" s="111">
        <f t="shared" si="47"/>
        <v>3796842</v>
      </c>
      <c r="AD56" s="111">
        <f>+'[6]Table 5B1_RSD_Orleans'!P56+'[7]Table 5B1_RSD_Orleans'!W56+('[8]Table 5B1_RSD_Orleans'!W56*3)+'[9]Table 5B1_RSD_Orleans'!W56+'[10]Table 5B1_RSD_Orleans'!W56+'[11]Table 5B1_RSD_Orleans'!W56</f>
        <v>2229851</v>
      </c>
      <c r="AE56" s="111">
        <f t="shared" si="48"/>
        <v>1566991</v>
      </c>
      <c r="AF56" s="111">
        <f t="shared" si="49"/>
        <v>391747.75</v>
      </c>
      <c r="AG56" s="111">
        <f t="shared" si="72"/>
        <v>3561684</v>
      </c>
      <c r="AH56" s="111">
        <v>0</v>
      </c>
      <c r="AI56" s="115">
        <f t="shared" si="73"/>
        <v>104</v>
      </c>
      <c r="AJ56" s="111">
        <f t="shared" si="51"/>
        <v>485472</v>
      </c>
      <c r="AK56" s="115">
        <f>+IFERROR(VLOOKUP(A56,'February midyear adj '!$A$85:$E$204,5,FALSE),"na")</f>
        <v>11</v>
      </c>
      <c r="AL56" s="111">
        <f t="shared" si="74"/>
        <v>25674</v>
      </c>
      <c r="AM56" s="111">
        <f t="shared" si="52"/>
        <v>511146</v>
      </c>
      <c r="AN56" s="33">
        <f t="shared" si="53"/>
        <v>4072830</v>
      </c>
      <c r="AO56" s="34">
        <f t="shared" si="65"/>
        <v>-71274.525000000009</v>
      </c>
      <c r="AP56" s="34">
        <f t="shared" si="66"/>
        <v>-10182.075000000001</v>
      </c>
      <c r="AQ56" s="34">
        <f t="shared" si="67"/>
        <v>-81456.600000000006</v>
      </c>
      <c r="AR56" s="34">
        <f t="shared" si="68"/>
        <v>3991373.4</v>
      </c>
      <c r="AS56" s="34">
        <f>'[12]Adjusted Amounts'!Q209</f>
        <v>6304.5</v>
      </c>
      <c r="AT56" s="34">
        <v>0</v>
      </c>
      <c r="AU56" s="456">
        <f t="shared" si="54"/>
        <v>3997677.9</v>
      </c>
      <c r="AV56" s="111">
        <f>+'[13]Table 5B1_RSD_Orleans'!Y56+'[7]Table 5B1_RSD_Orleans'!AK56+('[8]Table 5B1_RSD_Orleans'!AK56*3)+'[9]Table 5B1_RSD_Orleans'!AK56+'[10]Table 5B1_RSD_Orleans'!AK56+'[11]Table 5B1_RSD_Orleans'!AK56</f>
        <v>2546940.9929393935</v>
      </c>
      <c r="AW56" s="111">
        <f t="shared" si="55"/>
        <v>1450736.9070606064</v>
      </c>
      <c r="AX56" s="456">
        <f t="shared" si="56"/>
        <v>362684.2267651516</v>
      </c>
      <c r="AY56" s="34">
        <f t="shared" si="75"/>
        <v>7794519.9000000004</v>
      </c>
      <c r="AZ56" s="34">
        <f t="shared" si="58"/>
        <v>754431.9767651516</v>
      </c>
      <c r="BA56" s="34">
        <f t="shared" si="59"/>
        <v>142501</v>
      </c>
      <c r="BB56" s="34">
        <f t="shared" si="60"/>
        <v>220183.2267651516</v>
      </c>
      <c r="BC56" s="146">
        <f t="shared" si="34"/>
        <v>0</v>
      </c>
    </row>
    <row r="57" spans="1:55" ht="30.75" customHeight="1">
      <c r="A57" s="35">
        <v>398003</v>
      </c>
      <c r="B57" s="36" t="s">
        <v>39</v>
      </c>
      <c r="C57" s="31">
        <f>'[14]RSD-NO by Site'!D53</f>
        <v>405</v>
      </c>
      <c r="D57" s="32">
        <f t="shared" si="35"/>
        <v>951665.87328611116</v>
      </c>
      <c r="E57" s="32">
        <v>592.5310423197493</v>
      </c>
      <c r="F57" s="32">
        <f t="shared" si="71"/>
        <v>239975.07213949846</v>
      </c>
      <c r="G57" s="111">
        <f t="shared" si="37"/>
        <v>1191640.9454256096</v>
      </c>
      <c r="H57" s="115">
        <f>IFERROR(VLOOKUP(A57,'[4]RSD Opr + Type 5s'!$A$6:$E$77,5,FALSE),"na")</f>
        <v>12</v>
      </c>
      <c r="I57" s="111">
        <f t="shared" si="38"/>
        <v>17912.312910859848</v>
      </c>
      <c r="J57" s="115">
        <f>+IFERROR(VLOOKUP(A57,'[4]RSD Opr + Type 5s'!$A$6:$L$77,12,FALSE),"na")</f>
        <v>53</v>
      </c>
      <c r="K57" s="111">
        <f t="shared" si="39"/>
        <v>474676.29213778599</v>
      </c>
      <c r="L57" s="115">
        <f>+IFERROR(VLOOKUP(A57,'[4]RSD Opr + Type 5s'!$A$6:$V$77,22,FALSE),"na")</f>
        <v>4</v>
      </c>
      <c r="M57" s="111">
        <f t="shared" si="40"/>
        <v>65678.480673152779</v>
      </c>
      <c r="N57" s="111">
        <f t="shared" si="41"/>
        <v>558267.08572179859</v>
      </c>
      <c r="O57" s="111">
        <f t="shared" si="42"/>
        <v>1749908.0311474083</v>
      </c>
      <c r="P57" s="111">
        <f>+IFERROR(VLOOKUP(A57,'October midyear adj'!$A$128:$K$203,11,FALSE),"na")</f>
        <v>82260.409521818481</v>
      </c>
      <c r="Q57" s="115">
        <f>+IFERROR(VLOOKUP(A57,'October midyear adj'!A135:E253,5,FALSE),"Na")</f>
        <v>20</v>
      </c>
      <c r="R57" s="111">
        <f t="shared" si="43"/>
        <v>-23413.943081047637</v>
      </c>
      <c r="S57" s="111">
        <f t="shared" si="44"/>
        <v>58846.466440770848</v>
      </c>
      <c r="T57" s="111">
        <f>IFERROR(VLOOKUP(A57,'February midyear adj '!$A$128:$K$203,11,FALSE),"na")</f>
        <v>10282.55119022731</v>
      </c>
      <c r="U57" s="111">
        <f t="shared" si="45"/>
        <v>69129.017630998162</v>
      </c>
      <c r="V57" s="111">
        <f t="shared" si="46"/>
        <v>1819037.0487784063</v>
      </c>
      <c r="W57" s="34">
        <f t="shared" si="61"/>
        <v>-31833.148353622113</v>
      </c>
      <c r="X57" s="34">
        <f t="shared" si="62"/>
        <v>-4547.5926219460162</v>
      </c>
      <c r="Y57" s="34">
        <f t="shared" si="63"/>
        <v>-36380.740975568129</v>
      </c>
      <c r="Z57" s="33">
        <f t="shared" si="64"/>
        <v>1782656.3078028383</v>
      </c>
      <c r="AA57" s="34">
        <f>'[5]Adjusted Amounts'!I210</f>
        <v>-1265.9733586273378</v>
      </c>
      <c r="AB57" s="34">
        <v>0</v>
      </c>
      <c r="AC57" s="111">
        <f t="shared" si="47"/>
        <v>1781390</v>
      </c>
      <c r="AD57" s="111">
        <f>+'[6]Table 5B1_RSD_Orleans'!P57+'[7]Table 5B1_RSD_Orleans'!W57+('[8]Table 5B1_RSD_Orleans'!W57*3)+'[9]Table 5B1_RSD_Orleans'!W57+'[10]Table 5B1_RSD_Orleans'!W57+'[11]Table 5B1_RSD_Orleans'!W57</f>
        <v>1129177</v>
      </c>
      <c r="AE57" s="111">
        <f t="shared" si="48"/>
        <v>652213</v>
      </c>
      <c r="AF57" s="111">
        <f t="shared" si="49"/>
        <v>163053.25</v>
      </c>
      <c r="AG57" s="111">
        <f t="shared" si="72"/>
        <v>1890540</v>
      </c>
      <c r="AH57" s="111">
        <v>0</v>
      </c>
      <c r="AI57" s="115">
        <f t="shared" si="73"/>
        <v>20</v>
      </c>
      <c r="AJ57" s="111">
        <f t="shared" si="51"/>
        <v>93360</v>
      </c>
      <c r="AK57" s="115">
        <f>+IFERROR(VLOOKUP(A57,'February midyear adj '!$A$85:$E$204,5,FALSE),"na")</f>
        <v>5</v>
      </c>
      <c r="AL57" s="111">
        <f t="shared" si="74"/>
        <v>11670</v>
      </c>
      <c r="AM57" s="111">
        <f t="shared" si="52"/>
        <v>105030</v>
      </c>
      <c r="AN57" s="33">
        <f t="shared" si="53"/>
        <v>1995570</v>
      </c>
      <c r="AO57" s="34">
        <f t="shared" si="65"/>
        <v>-34922.475000000006</v>
      </c>
      <c r="AP57" s="34">
        <f t="shared" si="66"/>
        <v>-4988.9250000000002</v>
      </c>
      <c r="AQ57" s="34">
        <f t="shared" si="67"/>
        <v>-39911.400000000009</v>
      </c>
      <c r="AR57" s="34">
        <f t="shared" si="68"/>
        <v>1955658.6</v>
      </c>
      <c r="AS57" s="34">
        <f>'[12]Adjusted Amounts'!Q210</f>
        <v>6304.5</v>
      </c>
      <c r="AT57" s="34">
        <v>0</v>
      </c>
      <c r="AU57" s="456">
        <f t="shared" si="54"/>
        <v>1961963.1</v>
      </c>
      <c r="AV57" s="111">
        <f>+'[13]Table 5B1_RSD_Orleans'!Y57+'[7]Table 5B1_RSD_Orleans'!AK57+('[8]Table 5B1_RSD_Orleans'!AK57*3)+'[9]Table 5B1_RSD_Orleans'!AK57+'[10]Table 5B1_RSD_Orleans'!AK57+'[11]Table 5B1_RSD_Orleans'!AK57</f>
        <v>1240413.9095454547</v>
      </c>
      <c r="AW57" s="111">
        <f t="shared" si="55"/>
        <v>721549.19045454543</v>
      </c>
      <c r="AX57" s="456">
        <f t="shared" si="56"/>
        <v>180387.29761363636</v>
      </c>
      <c r="AY57" s="34">
        <f t="shared" si="75"/>
        <v>3743353.1</v>
      </c>
      <c r="AZ57" s="34">
        <f t="shared" si="58"/>
        <v>343440.54761363636</v>
      </c>
      <c r="BA57" s="34">
        <f t="shared" si="59"/>
        <v>70876</v>
      </c>
      <c r="BB57" s="34">
        <f t="shared" si="60"/>
        <v>109511.29761363636</v>
      </c>
      <c r="BC57" s="146">
        <f t="shared" si="34"/>
        <v>0</v>
      </c>
    </row>
    <row r="58" spans="1:55" ht="30.75" customHeight="1">
      <c r="A58" s="35">
        <v>398004</v>
      </c>
      <c r="B58" s="36" t="s">
        <v>40</v>
      </c>
      <c r="C58" s="31">
        <f>'[15]KIPP by Site &amp; Grade'!$R$7</f>
        <v>513</v>
      </c>
      <c r="D58" s="32">
        <f t="shared" si="35"/>
        <v>1205443.4394957409</v>
      </c>
      <c r="E58" s="32">
        <v>741.31578947368428</v>
      </c>
      <c r="F58" s="32">
        <f t="shared" si="71"/>
        <v>380295.00000000006</v>
      </c>
      <c r="G58" s="111">
        <f t="shared" si="37"/>
        <v>1585738.4394957409</v>
      </c>
      <c r="H58" s="115">
        <f>IFERROR(VLOOKUP(A58,'[4]RSD Opr + Type 5s'!$A$6:$E$77,5,FALSE),"na")</f>
        <v>6</v>
      </c>
      <c r="I58" s="111">
        <f t="shared" si="38"/>
        <v>8956.1564554299239</v>
      </c>
      <c r="J58" s="115">
        <f>+IFERROR(VLOOKUP(A58,'[4]RSD Opr + Type 5s'!$A$6:$L$77,12,FALSE),"na")</f>
        <v>31</v>
      </c>
      <c r="K58" s="111">
        <f t="shared" si="39"/>
        <v>277640.85011832765</v>
      </c>
      <c r="L58" s="115">
        <f>+IFERROR(VLOOKUP(A58,'[4]RSD Opr + Type 5s'!$A$6:$V$77,22,FALSE),"na")</f>
        <v>10</v>
      </c>
      <c r="M58" s="111">
        <f t="shared" si="40"/>
        <v>164196.20168288195</v>
      </c>
      <c r="N58" s="111">
        <f t="shared" si="41"/>
        <v>450793.20825663954</v>
      </c>
      <c r="O58" s="111">
        <f t="shared" si="42"/>
        <v>2036531.6477523805</v>
      </c>
      <c r="P58" s="111">
        <f>+IFERROR(VLOOKUP(A58,'October midyear adj'!$A$128:$K$203,11,FALSE),"na")</f>
        <v>42618.052232448594</v>
      </c>
      <c r="Q58" s="115">
        <f>+IFERROR(VLOOKUP(A58,'October midyear adj'!A136:E254,5,FALSE),"Na")</f>
        <v>10</v>
      </c>
      <c r="R58" s="111">
        <f t="shared" si="43"/>
        <v>-11706.971540523818</v>
      </c>
      <c r="S58" s="111">
        <f t="shared" si="44"/>
        <v>30911.080691924777</v>
      </c>
      <c r="T58" s="111">
        <f>IFERROR(VLOOKUP(A58,'February midyear adj '!$A$128:$K$203,11,FALSE),"na")</f>
        <v>2130.9026116224295</v>
      </c>
      <c r="U58" s="111">
        <f t="shared" si="45"/>
        <v>33041.983303547204</v>
      </c>
      <c r="V58" s="111">
        <f t="shared" si="46"/>
        <v>2069573.6310559276</v>
      </c>
      <c r="W58" s="34">
        <f t="shared" si="61"/>
        <v>-36217.538543478739</v>
      </c>
      <c r="X58" s="34">
        <f t="shared" si="62"/>
        <v>-5173.9340776398194</v>
      </c>
      <c r="Y58" s="34">
        <f t="shared" si="63"/>
        <v>-41391.472621118555</v>
      </c>
      <c r="Z58" s="33">
        <f t="shared" si="64"/>
        <v>2028182.158434809</v>
      </c>
      <c r="AA58" s="34">
        <f>'[5]Adjusted Amounts'!I211</f>
        <v>0</v>
      </c>
      <c r="AB58" s="34">
        <v>0</v>
      </c>
      <c r="AC58" s="111">
        <f t="shared" si="47"/>
        <v>2028182</v>
      </c>
      <c r="AD58" s="111">
        <f>+'[6]Table 5B1_RSD_Orleans'!P58+'[7]Table 5B1_RSD_Orleans'!W58+('[8]Table 5B1_RSD_Orleans'!W58*3)+'[9]Table 5B1_RSD_Orleans'!W58+'[10]Table 5B1_RSD_Orleans'!W58+'[11]Table 5B1_RSD_Orleans'!W58</f>
        <v>1344173</v>
      </c>
      <c r="AE58" s="111">
        <f t="shared" si="48"/>
        <v>684009</v>
      </c>
      <c r="AF58" s="111">
        <f t="shared" si="49"/>
        <v>171002.25</v>
      </c>
      <c r="AG58" s="111">
        <f t="shared" si="72"/>
        <v>2394684</v>
      </c>
      <c r="AH58" s="111">
        <v>0</v>
      </c>
      <c r="AI58" s="115">
        <f t="shared" si="73"/>
        <v>10</v>
      </c>
      <c r="AJ58" s="111">
        <f t="shared" si="51"/>
        <v>46680</v>
      </c>
      <c r="AK58" s="115">
        <f>+IFERROR(VLOOKUP(A58,'February midyear adj '!$A$85:$E$204,5,FALSE),"na")</f>
        <v>1</v>
      </c>
      <c r="AL58" s="111">
        <f t="shared" si="74"/>
        <v>2334</v>
      </c>
      <c r="AM58" s="111">
        <f t="shared" si="52"/>
        <v>49014</v>
      </c>
      <c r="AN58" s="33">
        <f t="shared" si="53"/>
        <v>2443698</v>
      </c>
      <c r="AO58" s="34">
        <f t="shared" si="65"/>
        <v>-42764.715000000004</v>
      </c>
      <c r="AP58" s="34">
        <f t="shared" si="66"/>
        <v>-6109.2449999999999</v>
      </c>
      <c r="AQ58" s="34">
        <f t="shared" si="67"/>
        <v>-48873.960000000006</v>
      </c>
      <c r="AR58" s="34">
        <f t="shared" si="68"/>
        <v>2394824.04</v>
      </c>
      <c r="AS58" s="34">
        <f>'[12]Adjusted Amounts'!Q211</f>
        <v>0</v>
      </c>
      <c r="AT58" s="34">
        <v>0</v>
      </c>
      <c r="AU58" s="456">
        <f t="shared" si="54"/>
        <v>2394824.04</v>
      </c>
      <c r="AV58" s="111">
        <f>+'[13]Table 5B1_RSD_Orleans'!Y58+'[7]Table 5B1_RSD_Orleans'!AK58+('[8]Table 5B1_RSD_Orleans'!AK58*3)+'[9]Table 5B1_RSD_Orleans'!AK58+'[10]Table 5B1_RSD_Orleans'!AK58+'[11]Table 5B1_RSD_Orleans'!AK58</f>
        <v>1565868.0879999998</v>
      </c>
      <c r="AW58" s="111">
        <f t="shared" si="55"/>
        <v>828955.95200000028</v>
      </c>
      <c r="AX58" s="456">
        <f t="shared" si="56"/>
        <v>207238.98800000007</v>
      </c>
      <c r="AY58" s="34">
        <f t="shared" si="75"/>
        <v>4423006.04</v>
      </c>
      <c r="AZ58" s="34">
        <f t="shared" si="58"/>
        <v>378241.23800000007</v>
      </c>
      <c r="BA58" s="34">
        <f t="shared" si="59"/>
        <v>81426</v>
      </c>
      <c r="BB58" s="34">
        <f t="shared" si="60"/>
        <v>125812.98800000007</v>
      </c>
      <c r="BC58" s="146">
        <f t="shared" si="34"/>
        <v>0</v>
      </c>
    </row>
    <row r="59" spans="1:55" ht="30.75" customHeight="1">
      <c r="A59" s="48">
        <v>398005</v>
      </c>
      <c r="B59" s="49" t="s">
        <v>41</v>
      </c>
      <c r="C59" s="50">
        <f>'[14]RSD-NO by Site'!D55</f>
        <v>343</v>
      </c>
      <c r="D59" s="40">
        <f t="shared" si="35"/>
        <v>805978.751943546</v>
      </c>
      <c r="E59" s="40">
        <v>746.0335616438357</v>
      </c>
      <c r="F59" s="40">
        <f t="shared" si="71"/>
        <v>255889.51164383563</v>
      </c>
      <c r="G59" s="120">
        <f t="shared" si="37"/>
        <v>1061868.2635873817</v>
      </c>
      <c r="H59" s="135">
        <f>IFERROR(VLOOKUP(A59,'[4]RSD Opr + Type 5s'!$A$6:$E$77,5,FALSE),"na")</f>
        <v>5</v>
      </c>
      <c r="I59" s="120">
        <f t="shared" si="38"/>
        <v>7463.4637128582699</v>
      </c>
      <c r="J59" s="135">
        <f>+IFERROR(VLOOKUP(A59,'[4]RSD Opr + Type 5s'!$A$6:$L$77,12,FALSE),"na")</f>
        <v>59</v>
      </c>
      <c r="K59" s="120">
        <f t="shared" si="39"/>
        <v>528413.23087036551</v>
      </c>
      <c r="L59" s="135">
        <f>+IFERROR(VLOOKUP(A59,'[4]RSD Opr + Type 5s'!$A$6:$V$77,22,FALSE),"na")</f>
        <v>7</v>
      </c>
      <c r="M59" s="120">
        <f t="shared" si="40"/>
        <v>114937.34117801736</v>
      </c>
      <c r="N59" s="120">
        <f t="shared" si="41"/>
        <v>650814.0357612411</v>
      </c>
      <c r="O59" s="120">
        <f t="shared" si="42"/>
        <v>1712682.2993486228</v>
      </c>
      <c r="P59" s="120">
        <f>+IFERROR(VLOOKUP(A59,'October midyear adj'!$A$128:$K$203,11,FALSE),"na")</f>
        <v>383987.069587351</v>
      </c>
      <c r="Q59" s="135">
        <f>+IFERROR(VLOOKUP(A59,'October midyear adj'!A137:E255,5,FALSE),"Na")</f>
        <v>90</v>
      </c>
      <c r="R59" s="120">
        <f t="shared" si="43"/>
        <v>-105362.74386471437</v>
      </c>
      <c r="S59" s="120">
        <f t="shared" si="44"/>
        <v>278624.32572263665</v>
      </c>
      <c r="T59" s="120">
        <f>IFERROR(VLOOKUP(A59,'February midyear adj '!$A$128:$K$203,11,FALSE),"na")</f>
        <v>-31998.922465612581</v>
      </c>
      <c r="U59" s="120">
        <f t="shared" si="45"/>
        <v>246625.40325702407</v>
      </c>
      <c r="V59" s="120">
        <f t="shared" si="46"/>
        <v>1959307.7026056468</v>
      </c>
      <c r="W59" s="42">
        <f t="shared" si="61"/>
        <v>-34287.884795598824</v>
      </c>
      <c r="X59" s="42">
        <f t="shared" si="62"/>
        <v>-4898.2692565141169</v>
      </c>
      <c r="Y59" s="42">
        <f t="shared" si="63"/>
        <v>-39186.154052112943</v>
      </c>
      <c r="Z59" s="41">
        <f t="shared" si="64"/>
        <v>1920121.5485535339</v>
      </c>
      <c r="AA59" s="42">
        <f>'[5]Adjusted Amounts'!I212</f>
        <v>430.97853243066493</v>
      </c>
      <c r="AB59" s="42">
        <v>0</v>
      </c>
      <c r="AC59" s="120">
        <f t="shared" si="47"/>
        <v>1920553</v>
      </c>
      <c r="AD59" s="120">
        <f>+'[6]Table 5B1_RSD_Orleans'!P59+'[7]Table 5B1_RSD_Orleans'!W59+('[8]Table 5B1_RSD_Orleans'!W59*3)+'[9]Table 5B1_RSD_Orleans'!W59+'[10]Table 5B1_RSD_Orleans'!W59+'[11]Table 5B1_RSD_Orleans'!W59</f>
        <v>1184496</v>
      </c>
      <c r="AE59" s="120">
        <f t="shared" si="48"/>
        <v>736057</v>
      </c>
      <c r="AF59" s="120">
        <f t="shared" si="49"/>
        <v>184014.25</v>
      </c>
      <c r="AG59" s="120">
        <f t="shared" si="72"/>
        <v>1601124</v>
      </c>
      <c r="AH59" s="120">
        <v>0</v>
      </c>
      <c r="AI59" s="135">
        <f t="shared" si="73"/>
        <v>90</v>
      </c>
      <c r="AJ59" s="120">
        <f t="shared" si="51"/>
        <v>420120</v>
      </c>
      <c r="AK59" s="135">
        <f>+IFERROR(VLOOKUP(A59,'February midyear adj '!$A$85:$E$204,5,FALSE),"na")</f>
        <v>-15</v>
      </c>
      <c r="AL59" s="120">
        <f t="shared" si="74"/>
        <v>-35010</v>
      </c>
      <c r="AM59" s="120">
        <f t="shared" si="52"/>
        <v>385110</v>
      </c>
      <c r="AN59" s="41">
        <f t="shared" si="53"/>
        <v>1986234</v>
      </c>
      <c r="AO59" s="42">
        <f t="shared" si="65"/>
        <v>-34759.095000000001</v>
      </c>
      <c r="AP59" s="42">
        <f t="shared" si="66"/>
        <v>-4965.585</v>
      </c>
      <c r="AQ59" s="42">
        <f t="shared" si="67"/>
        <v>-39724.68</v>
      </c>
      <c r="AR59" s="42">
        <f t="shared" si="68"/>
        <v>1946509.32</v>
      </c>
      <c r="AS59" s="42">
        <f>'[12]Adjusted Amounts'!Q212</f>
        <v>10507.5</v>
      </c>
      <c r="AT59" s="42">
        <v>0</v>
      </c>
      <c r="AU59" s="457">
        <f t="shared" si="54"/>
        <v>1957016.82</v>
      </c>
      <c r="AV59" s="120">
        <f>+'[13]Table 5B1_RSD_Orleans'!Y59+'[7]Table 5B1_RSD_Orleans'!AK59+('[8]Table 5B1_RSD_Orleans'!AK59*3)+'[9]Table 5B1_RSD_Orleans'!AK59+'[10]Table 5B1_RSD_Orleans'!AK59+'[11]Table 5B1_RSD_Orleans'!AK59</f>
        <v>1267746.3651212123</v>
      </c>
      <c r="AW59" s="120">
        <f t="shared" si="55"/>
        <v>689270.45487878774</v>
      </c>
      <c r="AX59" s="457">
        <f t="shared" si="56"/>
        <v>172317.61371969694</v>
      </c>
      <c r="AY59" s="42">
        <f t="shared" si="75"/>
        <v>3877569.8200000003</v>
      </c>
      <c r="AZ59" s="42">
        <f t="shared" si="58"/>
        <v>356331.86371969694</v>
      </c>
      <c r="BA59" s="42">
        <f t="shared" si="59"/>
        <v>67705</v>
      </c>
      <c r="BB59" s="42">
        <f t="shared" si="60"/>
        <v>104612.61371969694</v>
      </c>
      <c r="BC59" s="146">
        <f t="shared" si="34"/>
        <v>0</v>
      </c>
    </row>
    <row r="60" spans="1:55" ht="30.75" customHeight="1">
      <c r="A60" s="51">
        <v>398006</v>
      </c>
      <c r="B60" s="52" t="s">
        <v>42</v>
      </c>
      <c r="C60" s="24">
        <f>'[14]RSD-NO by Site'!D56</f>
        <v>514</v>
      </c>
      <c r="D60" s="25">
        <f t="shared" si="35"/>
        <v>1207793.2317754596</v>
      </c>
      <c r="E60" s="25">
        <v>746.0335616438357</v>
      </c>
      <c r="F60" s="25">
        <f t="shared" si="71"/>
        <v>383461.25068493153</v>
      </c>
      <c r="G60" s="121">
        <f t="shared" si="37"/>
        <v>1591254.4824603912</v>
      </c>
      <c r="H60" s="134">
        <f>IFERROR(VLOOKUP(A60,'[4]RSD Opr + Type 5s'!$A$6:$E$77,5,FALSE),"na")</f>
        <v>17</v>
      </c>
      <c r="I60" s="121">
        <f t="shared" si="38"/>
        <v>25375.776623718117</v>
      </c>
      <c r="J60" s="134">
        <f>+IFERROR(VLOOKUP(A60,'[4]RSD Opr + Type 5s'!$A$6:$L$77,12,FALSE),"na")</f>
        <v>71</v>
      </c>
      <c r="K60" s="121">
        <f t="shared" si="39"/>
        <v>635887.10833552456</v>
      </c>
      <c r="L60" s="134">
        <f>+IFERROR(VLOOKUP(A60,'[4]RSD Opr + Type 5s'!$A$6:$V$77,22,FALSE),"na")</f>
        <v>20</v>
      </c>
      <c r="M60" s="121">
        <f t="shared" si="40"/>
        <v>328392.40336576389</v>
      </c>
      <c r="N60" s="121">
        <f t="shared" si="41"/>
        <v>989655.28832500661</v>
      </c>
      <c r="O60" s="121">
        <f t="shared" si="42"/>
        <v>2580909.7707853978</v>
      </c>
      <c r="P60" s="121">
        <f>+IFERROR(VLOOKUP(A60,'October midyear adj'!$A$128:$K$203,11,FALSE),"na")</f>
        <v>1156227.7317574678</v>
      </c>
      <c r="Q60" s="134">
        <f>+IFERROR(VLOOKUP(A60,'October midyear adj'!A138:E256,5,FALSE),"Na")</f>
        <v>271</v>
      </c>
      <c r="R60" s="121">
        <f t="shared" si="43"/>
        <v>-317258.92874819547</v>
      </c>
      <c r="S60" s="121">
        <f t="shared" si="44"/>
        <v>838968.80300927232</v>
      </c>
      <c r="T60" s="121">
        <f>IFERROR(VLOOKUP(A60,'February midyear adj '!$A$128:$K$203,11,FALSE),"na")</f>
        <v>-31998.922465612581</v>
      </c>
      <c r="U60" s="121">
        <f t="shared" si="45"/>
        <v>806969.88054365979</v>
      </c>
      <c r="V60" s="121">
        <f t="shared" si="46"/>
        <v>3387879.6513290578</v>
      </c>
      <c r="W60" s="27">
        <f t="shared" si="61"/>
        <v>-59287.893898258517</v>
      </c>
      <c r="X60" s="27">
        <f t="shared" si="62"/>
        <v>-8469.6991283226453</v>
      </c>
      <c r="Y60" s="27">
        <f t="shared" si="63"/>
        <v>-67757.593026581162</v>
      </c>
      <c r="Z60" s="26">
        <f t="shared" si="64"/>
        <v>3320122.0583024765</v>
      </c>
      <c r="AA60" s="27">
        <f>'[5]Adjusted Amounts'!I213</f>
        <v>3998.0606576154573</v>
      </c>
      <c r="AB60" s="27">
        <v>0</v>
      </c>
      <c r="AC60" s="121">
        <f t="shared" si="47"/>
        <v>3324120</v>
      </c>
      <c r="AD60" s="445">
        <f>+'[6]Table 5B1_RSD_Orleans'!P60+'[7]Table 5B1_RSD_Orleans'!W60+('[8]Table 5B1_RSD_Orleans'!W60*3)+'[9]Table 5B1_RSD_Orleans'!W60+'[10]Table 5B1_RSD_Orleans'!W60+'[11]Table 5B1_RSD_Orleans'!W60</f>
        <v>2151093</v>
      </c>
      <c r="AE60" s="445">
        <f t="shared" si="48"/>
        <v>1173027</v>
      </c>
      <c r="AF60" s="445">
        <f t="shared" si="49"/>
        <v>293256.75</v>
      </c>
      <c r="AG60" s="121">
        <f t="shared" si="72"/>
        <v>2399352</v>
      </c>
      <c r="AH60" s="121">
        <v>0</v>
      </c>
      <c r="AI60" s="134">
        <f t="shared" si="73"/>
        <v>271</v>
      </c>
      <c r="AJ60" s="121">
        <f t="shared" si="51"/>
        <v>1265028</v>
      </c>
      <c r="AK60" s="134">
        <f>+IFERROR(VLOOKUP(A60,'February midyear adj '!$A$85:$E$204,5,FALSE),"na")</f>
        <v>-15</v>
      </c>
      <c r="AL60" s="121">
        <f t="shared" si="74"/>
        <v>-35010</v>
      </c>
      <c r="AM60" s="121">
        <f t="shared" si="52"/>
        <v>1230018</v>
      </c>
      <c r="AN60" s="26">
        <f t="shared" si="53"/>
        <v>3629370</v>
      </c>
      <c r="AO60" s="27">
        <f t="shared" si="65"/>
        <v>-63513.975000000006</v>
      </c>
      <c r="AP60" s="27">
        <f t="shared" si="66"/>
        <v>-9073.4250000000011</v>
      </c>
      <c r="AQ60" s="27">
        <f t="shared" si="67"/>
        <v>-72587.400000000009</v>
      </c>
      <c r="AR60" s="27">
        <f t="shared" si="68"/>
        <v>3556782.6</v>
      </c>
      <c r="AS60" s="27">
        <f>'[12]Adjusted Amounts'!Q213</f>
        <v>4203</v>
      </c>
      <c r="AT60" s="27">
        <v>0</v>
      </c>
      <c r="AU60" s="455">
        <f t="shared" si="54"/>
        <v>3560985.6</v>
      </c>
      <c r="AV60" s="445">
        <f>+'[13]Table 5B1_RSD_Orleans'!Y60+'[7]Table 5B1_RSD_Orleans'!AK60+('[8]Table 5B1_RSD_Orleans'!AK60*3)+'[9]Table 5B1_RSD_Orleans'!AK60+'[10]Table 5B1_RSD_Orleans'!AK60+'[11]Table 5B1_RSD_Orleans'!AK60</f>
        <v>2316695.3770303032</v>
      </c>
      <c r="AW60" s="445">
        <f t="shared" si="55"/>
        <v>1244290.2229696969</v>
      </c>
      <c r="AX60" s="461">
        <f t="shared" si="56"/>
        <v>311072.55574242421</v>
      </c>
      <c r="AY60" s="27">
        <f t="shared" si="75"/>
        <v>6885105.5999999996</v>
      </c>
      <c r="AZ60" s="27">
        <f t="shared" si="58"/>
        <v>604329.30574242421</v>
      </c>
      <c r="BA60" s="27">
        <f t="shared" si="59"/>
        <v>122223</v>
      </c>
      <c r="BB60" s="27">
        <f t="shared" si="60"/>
        <v>188849.55574242421</v>
      </c>
      <c r="BC60" s="146">
        <f t="shared" si="34"/>
        <v>0</v>
      </c>
    </row>
    <row r="61" spans="1:55" ht="30.75" customHeight="1">
      <c r="A61" s="35">
        <v>399001</v>
      </c>
      <c r="B61" s="36" t="s">
        <v>70</v>
      </c>
      <c r="C61" s="31">
        <f>'[14]RSD-NO by Site'!D57</f>
        <v>508</v>
      </c>
      <c r="D61" s="32">
        <f t="shared" si="35"/>
        <v>1193694.4780971468</v>
      </c>
      <c r="E61" s="32">
        <v>752.85062142702634</v>
      </c>
      <c r="F61" s="32">
        <f t="shared" si="71"/>
        <v>382448.11568492936</v>
      </c>
      <c r="G61" s="111">
        <f t="shared" si="37"/>
        <v>1576142.5937820761</v>
      </c>
      <c r="H61" s="115">
        <f>IFERROR(VLOOKUP(A61,'[4]RSD Opr + Type 5s'!$A$6:$E$77,5,FALSE),"na")</f>
        <v>19</v>
      </c>
      <c r="I61" s="111">
        <f t="shared" si="38"/>
        <v>28361.162108861427</v>
      </c>
      <c r="J61" s="115">
        <f>+IFERROR(VLOOKUP(A61,'[4]RSD Opr + Type 5s'!$A$6:$L$77,12,FALSE),"na")</f>
        <v>81</v>
      </c>
      <c r="K61" s="111">
        <f t="shared" si="39"/>
        <v>725448.67288982379</v>
      </c>
      <c r="L61" s="115">
        <f>+IFERROR(VLOOKUP(A61,'[4]RSD Opr + Type 5s'!$A$6:$V$77,22,FALSE),"na")</f>
        <v>9</v>
      </c>
      <c r="M61" s="111">
        <f t="shared" si="40"/>
        <v>147776.58151459374</v>
      </c>
      <c r="N61" s="111">
        <f t="shared" si="41"/>
        <v>901586.41651327885</v>
      </c>
      <c r="O61" s="111">
        <f t="shared" si="42"/>
        <v>2477729.0102953548</v>
      </c>
      <c r="P61" s="111">
        <f>+IFERROR(VLOOKUP(A61,'October midyear adj'!$A$128:$K$203,11,FALSE),"na")</f>
        <v>-89740.141159162231</v>
      </c>
      <c r="Q61" s="115">
        <f>+IFERROR(VLOOKUP(A61,'October midyear adj'!A139:E257,5,FALSE),"Na")</f>
        <v>-21</v>
      </c>
      <c r="R61" s="111">
        <f t="shared" si="43"/>
        <v>24584.640235100018</v>
      </c>
      <c r="S61" s="111">
        <f t="shared" si="44"/>
        <v>-65155.500924062217</v>
      </c>
      <c r="T61" s="111">
        <f>IFERROR(VLOOKUP(A61,'February midyear adj '!$A$128:$K$203,11,FALSE),"na")</f>
        <v>-10683.350137995503</v>
      </c>
      <c r="U61" s="111">
        <f t="shared" si="45"/>
        <v>-75838.851062057714</v>
      </c>
      <c r="V61" s="111">
        <f t="shared" si="46"/>
        <v>2401890.1592332972</v>
      </c>
      <c r="W61" s="34">
        <f t="shared" si="61"/>
        <v>-42033.077786582704</v>
      </c>
      <c r="X61" s="34">
        <f t="shared" si="62"/>
        <v>-6004.7253980832429</v>
      </c>
      <c r="Y61" s="34">
        <f t="shared" si="63"/>
        <v>-48037.803184665943</v>
      </c>
      <c r="Z61" s="33">
        <f t="shared" si="64"/>
        <v>2353852.3560486315</v>
      </c>
      <c r="AA61" s="34">
        <f>'[5]Adjusted Amounts'!I214</f>
        <v>-3516.4052830321971</v>
      </c>
      <c r="AB61" s="34">
        <v>0</v>
      </c>
      <c r="AC61" s="111">
        <f t="shared" si="47"/>
        <v>2350336</v>
      </c>
      <c r="AD61" s="111">
        <f>+'[6]Table 5B1_RSD_Orleans'!P61+'[7]Table 5B1_RSD_Orleans'!W61+('[8]Table 5B1_RSD_Orleans'!W61*3)+'[9]Table 5B1_RSD_Orleans'!W61+'[10]Table 5B1_RSD_Orleans'!W61+'[11]Table 5B1_RSD_Orleans'!W61</f>
        <v>1615781</v>
      </c>
      <c r="AE61" s="111">
        <f t="shared" si="48"/>
        <v>734555</v>
      </c>
      <c r="AF61" s="111">
        <f t="shared" si="49"/>
        <v>183638.75</v>
      </c>
      <c r="AG61" s="111">
        <f t="shared" si="72"/>
        <v>2371344</v>
      </c>
      <c r="AH61" s="111">
        <v>0</v>
      </c>
      <c r="AI61" s="115">
        <f t="shared" si="73"/>
        <v>-21</v>
      </c>
      <c r="AJ61" s="111">
        <f t="shared" si="51"/>
        <v>-98028</v>
      </c>
      <c r="AK61" s="115">
        <f>+IFERROR(VLOOKUP(A61,'February midyear adj '!$A$85:$E$204,5,FALSE),"na")</f>
        <v>-5</v>
      </c>
      <c r="AL61" s="111">
        <f t="shared" si="74"/>
        <v>-11670</v>
      </c>
      <c r="AM61" s="111">
        <f t="shared" si="52"/>
        <v>-109698</v>
      </c>
      <c r="AN61" s="33">
        <f t="shared" si="53"/>
        <v>2261646</v>
      </c>
      <c r="AO61" s="34">
        <f t="shared" si="65"/>
        <v>-39578.805</v>
      </c>
      <c r="AP61" s="34">
        <f t="shared" si="66"/>
        <v>-5654.1149999999998</v>
      </c>
      <c r="AQ61" s="34">
        <f t="shared" si="67"/>
        <v>-45232.92</v>
      </c>
      <c r="AR61" s="34">
        <f t="shared" si="68"/>
        <v>2216413.08</v>
      </c>
      <c r="AS61" s="34">
        <f>'[12]Adjusted Amounts'!Q214</f>
        <v>0</v>
      </c>
      <c r="AT61" s="34">
        <v>0</v>
      </c>
      <c r="AU61" s="456">
        <f t="shared" si="54"/>
        <v>2216413.08</v>
      </c>
      <c r="AV61" s="111">
        <f>+'[13]Table 5B1_RSD_Orleans'!Y61+'[7]Table 5B1_RSD_Orleans'!AK61+('[8]Table 5B1_RSD_Orleans'!AK61*3)+'[9]Table 5B1_RSD_Orleans'!AK61+'[10]Table 5B1_RSD_Orleans'!AK61+'[11]Table 5B1_RSD_Orleans'!AK61</f>
        <v>1550605.2746666668</v>
      </c>
      <c r="AW61" s="111">
        <f t="shared" si="55"/>
        <v>665807.80533333332</v>
      </c>
      <c r="AX61" s="456">
        <f t="shared" si="56"/>
        <v>166451.95133333333</v>
      </c>
      <c r="AY61" s="34">
        <f t="shared" si="75"/>
        <v>4566749.08</v>
      </c>
      <c r="AZ61" s="34">
        <f t="shared" si="58"/>
        <v>350090.70133333333</v>
      </c>
      <c r="BA61" s="34">
        <f t="shared" si="59"/>
        <v>65400</v>
      </c>
      <c r="BB61" s="34">
        <f t="shared" si="60"/>
        <v>101051.95133333333</v>
      </c>
      <c r="BC61" s="146">
        <f t="shared" si="34"/>
        <v>0</v>
      </c>
    </row>
    <row r="62" spans="1:55" ht="30.75" customHeight="1">
      <c r="A62" s="35">
        <v>399002</v>
      </c>
      <c r="B62" s="36" t="s">
        <v>85</v>
      </c>
      <c r="C62" s="63">
        <f>'[14]RSD-NO by Site'!D58</f>
        <v>485</v>
      </c>
      <c r="D62" s="32">
        <f t="shared" si="35"/>
        <v>1139649.2556636147</v>
      </c>
      <c r="E62" s="32">
        <v>803.97152919927748</v>
      </c>
      <c r="F62" s="32">
        <f t="shared" si="71"/>
        <v>389926.19166164956</v>
      </c>
      <c r="G62" s="111">
        <f t="shared" si="37"/>
        <v>1529575.4473252643</v>
      </c>
      <c r="H62" s="115">
        <f>IFERROR(VLOOKUP(A62,'[4]RSD Opr + Type 5s'!$A$6:$E$77,5,FALSE),"na")</f>
        <v>26</v>
      </c>
      <c r="I62" s="111">
        <f t="shared" si="38"/>
        <v>38810.011306863002</v>
      </c>
      <c r="J62" s="115">
        <f>+IFERROR(VLOOKUP(A62,'[4]RSD Opr + Type 5s'!$A$6:$L$77,12,FALSE),"na")</f>
        <v>63</v>
      </c>
      <c r="K62" s="111">
        <f t="shared" si="39"/>
        <v>564237.85669208516</v>
      </c>
      <c r="L62" s="115">
        <f>+IFERROR(VLOOKUP(A62,'[4]RSD Opr + Type 5s'!$A$6:$V$77,22,FALSE),"na")</f>
        <v>10</v>
      </c>
      <c r="M62" s="111">
        <f t="shared" si="40"/>
        <v>164196.20168288195</v>
      </c>
      <c r="N62" s="111">
        <f t="shared" si="41"/>
        <v>767244.06968183012</v>
      </c>
      <c r="O62" s="111">
        <f t="shared" si="42"/>
        <v>2296819.5170070943</v>
      </c>
      <c r="P62" s="111">
        <f>+IFERROR(VLOOKUP(A62,'October midyear adj'!$A$128:$K$203,11,FALSE),"na")</f>
        <v>467041.78400080878</v>
      </c>
      <c r="Q62" s="115">
        <f>+IFERROR(VLOOKUP(A62,'October midyear adj'!A140:E258,5,FALSE),"Na")</f>
        <v>108</v>
      </c>
      <c r="R62" s="111">
        <f t="shared" si="43"/>
        <v>-126435.29263765724</v>
      </c>
      <c r="S62" s="111">
        <f t="shared" si="44"/>
        <v>340606.49136315152</v>
      </c>
      <c r="T62" s="111">
        <f>IFERROR(VLOOKUP(A62,'February midyear adj '!$A$128:$K$203,11,FALSE),"na")</f>
        <v>-21622.304814852258</v>
      </c>
      <c r="U62" s="111">
        <f t="shared" si="45"/>
        <v>318984.18654829927</v>
      </c>
      <c r="V62" s="111">
        <f t="shared" si="46"/>
        <v>2615803.7035553935</v>
      </c>
      <c r="W62" s="34">
        <f t="shared" si="61"/>
        <v>-45776.564812219389</v>
      </c>
      <c r="X62" s="34">
        <f t="shared" si="62"/>
        <v>-6539.5092588884836</v>
      </c>
      <c r="Y62" s="34">
        <f t="shared" si="63"/>
        <v>-52316.074071107869</v>
      </c>
      <c r="Z62" s="33">
        <f t="shared" si="64"/>
        <v>2563487.6294842856</v>
      </c>
      <c r="AA62" s="34">
        <f>'[5]Adjusted Amounts'!I215</f>
        <v>-15666.0156532652</v>
      </c>
      <c r="AB62" s="34">
        <v>0</v>
      </c>
      <c r="AC62" s="111">
        <f t="shared" si="47"/>
        <v>2547822</v>
      </c>
      <c r="AD62" s="111">
        <f>+'[6]Table 5B1_RSD_Orleans'!P62+'[7]Table 5B1_RSD_Orleans'!W62+('[8]Table 5B1_RSD_Orleans'!W62*3)+'[9]Table 5B1_RSD_Orleans'!W62+'[10]Table 5B1_RSD_Orleans'!W62+'[11]Table 5B1_RSD_Orleans'!W62</f>
        <v>1627048</v>
      </c>
      <c r="AE62" s="111">
        <f t="shared" si="48"/>
        <v>920774</v>
      </c>
      <c r="AF62" s="111">
        <f t="shared" si="49"/>
        <v>230193.5</v>
      </c>
      <c r="AG62" s="111">
        <f t="shared" si="72"/>
        <v>2263980</v>
      </c>
      <c r="AH62" s="111">
        <v>0</v>
      </c>
      <c r="AI62" s="115">
        <f t="shared" si="73"/>
        <v>108</v>
      </c>
      <c r="AJ62" s="111">
        <f t="shared" si="51"/>
        <v>504144</v>
      </c>
      <c r="AK62" s="115">
        <f>+IFERROR(VLOOKUP(A62,'February midyear adj '!$A$85:$E$204,5,FALSE),"na")</f>
        <v>-10</v>
      </c>
      <c r="AL62" s="111">
        <f t="shared" si="74"/>
        <v>-23340</v>
      </c>
      <c r="AM62" s="111">
        <f t="shared" si="52"/>
        <v>480804</v>
      </c>
      <c r="AN62" s="33">
        <f t="shared" si="53"/>
        <v>2744784</v>
      </c>
      <c r="AO62" s="34">
        <f t="shared" si="65"/>
        <v>-48033.72</v>
      </c>
      <c r="AP62" s="34">
        <f t="shared" si="66"/>
        <v>-6861.96</v>
      </c>
      <c r="AQ62" s="34">
        <f t="shared" si="67"/>
        <v>-54895.68</v>
      </c>
      <c r="AR62" s="34">
        <f t="shared" si="68"/>
        <v>2689888.32</v>
      </c>
      <c r="AS62" s="34">
        <f>'[12]Adjusted Amounts'!Q215</f>
        <v>-2101.5</v>
      </c>
      <c r="AT62" s="34">
        <v>0</v>
      </c>
      <c r="AU62" s="456">
        <f t="shared" si="54"/>
        <v>2687786.82</v>
      </c>
      <c r="AV62" s="111">
        <f>+'[13]Table 5B1_RSD_Orleans'!Y62+'[7]Table 5B1_RSD_Orleans'!AK62+('[8]Table 5B1_RSD_Orleans'!AK62*3)+'[9]Table 5B1_RSD_Orleans'!AK62+'[10]Table 5B1_RSD_Orleans'!AK62+'[11]Table 5B1_RSD_Orleans'!AK62</f>
        <v>1479000.0774242426</v>
      </c>
      <c r="AW62" s="111">
        <f t="shared" si="55"/>
        <v>1208786.7425757572</v>
      </c>
      <c r="AX62" s="456">
        <f t="shared" si="56"/>
        <v>302196.6856439393</v>
      </c>
      <c r="AY62" s="34">
        <f t="shared" si="75"/>
        <v>5235608.82</v>
      </c>
      <c r="AZ62" s="34">
        <f t="shared" si="58"/>
        <v>532390.1856439393</v>
      </c>
      <c r="BA62" s="34">
        <f t="shared" si="59"/>
        <v>118735</v>
      </c>
      <c r="BB62" s="34">
        <f t="shared" si="60"/>
        <v>183461.6856439393</v>
      </c>
      <c r="BC62" s="146">
        <f t="shared" si="34"/>
        <v>0</v>
      </c>
    </row>
    <row r="63" spans="1:55" ht="30.75" customHeight="1">
      <c r="A63" s="35">
        <v>399003</v>
      </c>
      <c r="B63" s="36" t="s">
        <v>69</v>
      </c>
      <c r="C63" s="63">
        <f>'[14]RSD-NO by Site'!D59</f>
        <v>394</v>
      </c>
      <c r="D63" s="32">
        <f t="shared" si="35"/>
        <v>925818.15820920444</v>
      </c>
      <c r="E63" s="32">
        <v>746.0335616438357</v>
      </c>
      <c r="F63" s="32">
        <f t="shared" si="71"/>
        <v>293937.22328767128</v>
      </c>
      <c r="G63" s="111">
        <f t="shared" si="37"/>
        <v>1219755.3814968758</v>
      </c>
      <c r="H63" s="115">
        <f>IFERROR(VLOOKUP(A63,'[4]RSD Opr + Type 5s'!$A$6:$E$77,5,FALSE),"na")</f>
        <v>9</v>
      </c>
      <c r="I63" s="111">
        <f t="shared" si="38"/>
        <v>13434.234683144885</v>
      </c>
      <c r="J63" s="115">
        <f>+IFERROR(VLOOKUP(A63,'[4]RSD Opr + Type 5s'!$A$6:$L$77,12,FALSE),"na")</f>
        <v>67</v>
      </c>
      <c r="K63" s="111">
        <f t="shared" si="39"/>
        <v>600062.48251380492</v>
      </c>
      <c r="L63" s="115">
        <f>+IFERROR(VLOOKUP(A63,'[4]RSD Opr + Type 5s'!$A$6:$V$77,22,FALSE),"na")</f>
        <v>18</v>
      </c>
      <c r="M63" s="111">
        <f t="shared" si="40"/>
        <v>295553.16302918748</v>
      </c>
      <c r="N63" s="111">
        <f t="shared" si="41"/>
        <v>909049.88022613723</v>
      </c>
      <c r="O63" s="111">
        <f t="shared" si="42"/>
        <v>2128805.2617230131</v>
      </c>
      <c r="P63" s="111">
        <f>+IFERROR(VLOOKUP(A63,'October midyear adj'!$A$128:$K$203,11,FALSE),"na")</f>
        <v>4266.5229954150109</v>
      </c>
      <c r="Q63" s="115">
        <f>+IFERROR(VLOOKUP(A63,'October midyear adj'!A141:E259,5,FALSE),"Na")</f>
        <v>1</v>
      </c>
      <c r="R63" s="111">
        <f t="shared" si="43"/>
        <v>-1170.6971540523818</v>
      </c>
      <c r="S63" s="111">
        <f t="shared" si="44"/>
        <v>3095.825841362629</v>
      </c>
      <c r="T63" s="111">
        <f>IFERROR(VLOOKUP(A63,'February midyear adj '!$A$128:$K$203,11,FALSE),"na")</f>
        <v>-34132.183963320087</v>
      </c>
      <c r="U63" s="111">
        <f t="shared" si="45"/>
        <v>-31036.358121957459</v>
      </c>
      <c r="V63" s="111">
        <f t="shared" si="46"/>
        <v>2097768.9036010555</v>
      </c>
      <c r="W63" s="34">
        <f t="shared" si="61"/>
        <v>-36710.955813018474</v>
      </c>
      <c r="X63" s="34">
        <f t="shared" si="62"/>
        <v>-5244.4222590026393</v>
      </c>
      <c r="Y63" s="34">
        <f t="shared" si="63"/>
        <v>-41955.378072021114</v>
      </c>
      <c r="Z63" s="33">
        <f t="shared" si="64"/>
        <v>2055813.5255290344</v>
      </c>
      <c r="AA63" s="34">
        <f>'[5]Adjusted Amounts'!I216</f>
        <v>-1360.5831120636303</v>
      </c>
      <c r="AB63" s="34">
        <v>0</v>
      </c>
      <c r="AC63" s="111">
        <f t="shared" si="47"/>
        <v>2054453</v>
      </c>
      <c r="AD63" s="111">
        <f>+'[6]Table 5B1_RSD_Orleans'!P63+'[7]Table 5B1_RSD_Orleans'!W63+('[8]Table 5B1_RSD_Orleans'!W63*3)+'[9]Table 5B1_RSD_Orleans'!W63+'[10]Table 5B1_RSD_Orleans'!W63+'[11]Table 5B1_RSD_Orleans'!W63</f>
        <v>1255451</v>
      </c>
      <c r="AE63" s="111">
        <f t="shared" si="48"/>
        <v>799002</v>
      </c>
      <c r="AF63" s="111">
        <f t="shared" si="49"/>
        <v>199750.5</v>
      </c>
      <c r="AG63" s="111">
        <f t="shared" si="72"/>
        <v>1839192</v>
      </c>
      <c r="AH63" s="111">
        <v>0</v>
      </c>
      <c r="AI63" s="115">
        <f t="shared" si="73"/>
        <v>1</v>
      </c>
      <c r="AJ63" s="111">
        <f t="shared" si="51"/>
        <v>4668</v>
      </c>
      <c r="AK63" s="115">
        <f>+IFERROR(VLOOKUP(A63,'February midyear adj '!$A$85:$E$204,5,FALSE),"na")</f>
        <v>-16</v>
      </c>
      <c r="AL63" s="111">
        <f t="shared" si="74"/>
        <v>-37344</v>
      </c>
      <c r="AM63" s="111">
        <f t="shared" si="52"/>
        <v>-32676</v>
      </c>
      <c r="AN63" s="33">
        <f t="shared" si="53"/>
        <v>1806516</v>
      </c>
      <c r="AO63" s="34">
        <f t="shared" si="65"/>
        <v>-31614.030000000002</v>
      </c>
      <c r="AP63" s="34">
        <f t="shared" si="66"/>
        <v>-4516.29</v>
      </c>
      <c r="AQ63" s="34">
        <f t="shared" si="67"/>
        <v>-36130.32</v>
      </c>
      <c r="AR63" s="34">
        <f t="shared" si="68"/>
        <v>1770385.68</v>
      </c>
      <c r="AS63" s="34">
        <f>'[12]Adjusted Amounts'!Q216</f>
        <v>14</v>
      </c>
      <c r="AT63" s="34">
        <v>0</v>
      </c>
      <c r="AU63" s="456">
        <f t="shared" si="54"/>
        <v>1770399.68</v>
      </c>
      <c r="AV63" s="111">
        <f>+'[13]Table 5B1_RSD_Orleans'!Y63+'[7]Table 5B1_RSD_Orleans'!AK63+('[8]Table 5B1_RSD_Orleans'!AK63*3)+'[9]Table 5B1_RSD_Orleans'!AK63+'[10]Table 5B1_RSD_Orleans'!AK63+'[11]Table 5B1_RSD_Orleans'!AK63</f>
        <v>1202643.8500606057</v>
      </c>
      <c r="AW63" s="111">
        <f t="shared" si="55"/>
        <v>567755.82993939426</v>
      </c>
      <c r="AX63" s="456">
        <f t="shared" si="56"/>
        <v>141938.95748484856</v>
      </c>
      <c r="AY63" s="34">
        <f t="shared" si="75"/>
        <v>3824852.6799999997</v>
      </c>
      <c r="AZ63" s="34">
        <f t="shared" si="58"/>
        <v>341689.45748484856</v>
      </c>
      <c r="BA63" s="34">
        <f t="shared" si="59"/>
        <v>55769</v>
      </c>
      <c r="BB63" s="34">
        <f t="shared" si="60"/>
        <v>86169.957484848564</v>
      </c>
      <c r="BC63" s="146">
        <f t="shared" si="34"/>
        <v>0</v>
      </c>
    </row>
    <row r="64" spans="1:55" ht="30.75" customHeight="1">
      <c r="A64" s="48">
        <v>399004</v>
      </c>
      <c r="B64" s="49" t="s">
        <v>68</v>
      </c>
      <c r="C64" s="64">
        <f>'[14]RSD-NO by Site'!D60</f>
        <v>472</v>
      </c>
      <c r="D64" s="40">
        <f t="shared" si="35"/>
        <v>1109101.9560272703</v>
      </c>
      <c r="E64" s="40">
        <v>746.0335616438357</v>
      </c>
      <c r="F64" s="40">
        <f t="shared" si="71"/>
        <v>352127.84109589044</v>
      </c>
      <c r="G64" s="120">
        <f t="shared" si="37"/>
        <v>1461229.7971231607</v>
      </c>
      <c r="H64" s="135">
        <f>IFERROR(VLOOKUP(A64,'[4]RSD Opr + Type 5s'!$A$6:$E$77,5,FALSE),"na")</f>
        <v>22</v>
      </c>
      <c r="I64" s="120">
        <f t="shared" si="38"/>
        <v>32839.240336576389</v>
      </c>
      <c r="J64" s="135">
        <f>+IFERROR(VLOOKUP(A64,'[4]RSD Opr + Type 5s'!$A$6:$L$77,12,FALSE),"na")</f>
        <v>55</v>
      </c>
      <c r="K64" s="120">
        <f t="shared" si="39"/>
        <v>492588.60504864581</v>
      </c>
      <c r="L64" s="135">
        <f>+IFERROR(VLOOKUP(A64,'[4]RSD Opr + Type 5s'!$A$6:$V$77,22,FALSE),"na")</f>
        <v>11</v>
      </c>
      <c r="M64" s="120">
        <f t="shared" si="40"/>
        <v>180615.82185117016</v>
      </c>
      <c r="N64" s="120">
        <f t="shared" si="41"/>
        <v>706043.66723639239</v>
      </c>
      <c r="O64" s="120">
        <f t="shared" si="42"/>
        <v>2167273.4643595531</v>
      </c>
      <c r="P64" s="120">
        <f>+IFERROR(VLOOKUP(A64,'October midyear adj'!$A$128:$K$203,11,FALSE),"na")</f>
        <v>136528.73585328035</v>
      </c>
      <c r="Q64" s="135">
        <f>+IFERROR(VLOOKUP(A64,'October midyear adj'!A142:E260,5,FALSE),"Na")</f>
        <v>32</v>
      </c>
      <c r="R64" s="120">
        <f t="shared" si="43"/>
        <v>-37462.308929676219</v>
      </c>
      <c r="S64" s="120">
        <f t="shared" si="44"/>
        <v>99066.426923604129</v>
      </c>
      <c r="T64" s="120">
        <f>IFERROR(VLOOKUP(A64,'February midyear adj '!$A$128:$K$203,11,FALSE),"na")</f>
        <v>-17066.091981660044</v>
      </c>
      <c r="U64" s="120">
        <f t="shared" si="45"/>
        <v>82000.334941944078</v>
      </c>
      <c r="V64" s="120">
        <f t="shared" si="46"/>
        <v>2249273.7993014972</v>
      </c>
      <c r="W64" s="42">
        <f t="shared" si="61"/>
        <v>-39362.291487776201</v>
      </c>
      <c r="X64" s="42">
        <f t="shared" si="62"/>
        <v>-5623.1844982537432</v>
      </c>
      <c r="Y64" s="42">
        <f t="shared" si="63"/>
        <v>-44985.475986029945</v>
      </c>
      <c r="Z64" s="41">
        <f t="shared" si="64"/>
        <v>2204288.3233154672</v>
      </c>
      <c r="AA64" s="42">
        <f>'[5]Adjusted Amounts'!I217</f>
        <v>-3516.4052830321971</v>
      </c>
      <c r="AB64" s="42">
        <v>0</v>
      </c>
      <c r="AC64" s="120">
        <f t="shared" si="47"/>
        <v>2200772</v>
      </c>
      <c r="AD64" s="120">
        <f>+'[6]Table 5B1_RSD_Orleans'!P64+'[7]Table 5B1_RSD_Orleans'!W64+('[8]Table 5B1_RSD_Orleans'!W64*3)+'[9]Table 5B1_RSD_Orleans'!W64+'[10]Table 5B1_RSD_Orleans'!W64+'[11]Table 5B1_RSD_Orleans'!W64</f>
        <v>1480701</v>
      </c>
      <c r="AE64" s="120">
        <f t="shared" si="48"/>
        <v>720071</v>
      </c>
      <c r="AF64" s="120">
        <f t="shared" si="49"/>
        <v>180017.75</v>
      </c>
      <c r="AG64" s="120">
        <f t="shared" si="72"/>
        <v>2203296</v>
      </c>
      <c r="AH64" s="120">
        <v>0</v>
      </c>
      <c r="AI64" s="135">
        <f t="shared" si="73"/>
        <v>32</v>
      </c>
      <c r="AJ64" s="120">
        <f t="shared" si="51"/>
        <v>149376</v>
      </c>
      <c r="AK64" s="135">
        <f>+IFERROR(VLOOKUP(A64,'February midyear adj '!$A$85:$E$204,5,FALSE),"na")</f>
        <v>-8</v>
      </c>
      <c r="AL64" s="120">
        <f t="shared" si="74"/>
        <v>-18672</v>
      </c>
      <c r="AM64" s="120">
        <f t="shared" si="52"/>
        <v>130704</v>
      </c>
      <c r="AN64" s="41">
        <f t="shared" si="53"/>
        <v>2334000</v>
      </c>
      <c r="AO64" s="42">
        <f t="shared" si="65"/>
        <v>-40845.000000000007</v>
      </c>
      <c r="AP64" s="42">
        <f t="shared" si="66"/>
        <v>-5835</v>
      </c>
      <c r="AQ64" s="42">
        <f t="shared" si="67"/>
        <v>-46680.000000000007</v>
      </c>
      <c r="AR64" s="42">
        <f t="shared" si="68"/>
        <v>2287320</v>
      </c>
      <c r="AS64" s="42">
        <f>'[12]Adjusted Amounts'!Q217</f>
        <v>0</v>
      </c>
      <c r="AT64" s="42">
        <v>0</v>
      </c>
      <c r="AU64" s="457">
        <f t="shared" si="54"/>
        <v>2287320</v>
      </c>
      <c r="AV64" s="120">
        <f>+'[13]Table 5B1_RSD_Orleans'!Y64+'[7]Table 5B1_RSD_Orleans'!AK64+('[8]Table 5B1_RSD_Orleans'!AK64*3)+'[9]Table 5B1_RSD_Orleans'!AK64+'[10]Table 5B1_RSD_Orleans'!AK64+'[11]Table 5B1_RSD_Orleans'!AK64</f>
        <v>1440720.2477575755</v>
      </c>
      <c r="AW64" s="120">
        <f t="shared" si="55"/>
        <v>846599.75224242453</v>
      </c>
      <c r="AX64" s="457">
        <f t="shared" si="56"/>
        <v>211649.93806060613</v>
      </c>
      <c r="AY64" s="42">
        <f t="shared" si="75"/>
        <v>4488092</v>
      </c>
      <c r="AZ64" s="42">
        <f t="shared" si="58"/>
        <v>391667.68806060613</v>
      </c>
      <c r="BA64" s="42">
        <f t="shared" si="59"/>
        <v>83159</v>
      </c>
      <c r="BB64" s="42">
        <f t="shared" si="60"/>
        <v>128490.93806060613</v>
      </c>
      <c r="BC64" s="146">
        <f t="shared" si="34"/>
        <v>0</v>
      </c>
    </row>
    <row r="65" spans="1:55" ht="30.75" customHeight="1">
      <c r="A65" s="65">
        <v>399005</v>
      </c>
      <c r="B65" s="66" t="s">
        <v>43</v>
      </c>
      <c r="C65" s="67">
        <f>'[14]RSD-NO by Site'!D61</f>
        <v>645</v>
      </c>
      <c r="D65" s="68">
        <f t="shared" si="35"/>
        <v>1515616.0204186216</v>
      </c>
      <c r="E65" s="13">
        <v>746.0335616438357</v>
      </c>
      <c r="F65" s="13">
        <f t="shared" si="71"/>
        <v>481191.64726027404</v>
      </c>
      <c r="G65" s="123">
        <f t="shared" si="37"/>
        <v>1996807.6676788956</v>
      </c>
      <c r="H65" s="128">
        <f>IFERROR(VLOOKUP(A65,'[4]RSD Opr + Type 5s'!$A$6:$E$77,5,FALSE),"na")</f>
        <v>20</v>
      </c>
      <c r="I65" s="123">
        <f t="shared" si="38"/>
        <v>29853.85485143308</v>
      </c>
      <c r="J65" s="128">
        <f>+IFERROR(VLOOKUP(A65,'[4]RSD Opr + Type 5s'!$A$6:$L$77,12,FALSE),"na")</f>
        <v>59</v>
      </c>
      <c r="K65" s="123">
        <f t="shared" si="39"/>
        <v>528413.23087036551</v>
      </c>
      <c r="L65" s="128">
        <f>+IFERROR(VLOOKUP(A65,'[4]RSD Opr + Type 5s'!$A$6:$V$77,22,FALSE),"na")</f>
        <v>17</v>
      </c>
      <c r="M65" s="123">
        <f t="shared" si="40"/>
        <v>279133.5428608993</v>
      </c>
      <c r="N65" s="123">
        <f t="shared" si="41"/>
        <v>837400.62858269783</v>
      </c>
      <c r="O65" s="123">
        <f t="shared" si="42"/>
        <v>2834208.2962615937</v>
      </c>
      <c r="P65" s="123">
        <f>+IFERROR(VLOOKUP(A65,'October midyear adj'!$A$128:$K$203,11,FALSE),"na")</f>
        <v>511982.75944980129</v>
      </c>
      <c r="Q65" s="128">
        <f>+IFERROR(VLOOKUP(A65,'October midyear adj'!A143:E261,5,FALSE),"Na")</f>
        <v>120</v>
      </c>
      <c r="R65" s="123">
        <f t="shared" si="43"/>
        <v>-140483.65848628583</v>
      </c>
      <c r="S65" s="123">
        <f t="shared" si="44"/>
        <v>371499.10096351546</v>
      </c>
      <c r="T65" s="123">
        <f>IFERROR(VLOOKUP(A65,'February midyear adj '!$A$128:$K$203,11,FALSE),"na")</f>
        <v>25599.137972490065</v>
      </c>
      <c r="U65" s="123">
        <f t="shared" si="45"/>
        <v>397098.23893600551</v>
      </c>
      <c r="V65" s="123">
        <f t="shared" si="46"/>
        <v>3231306.5351975993</v>
      </c>
      <c r="W65" s="18">
        <f t="shared" si="61"/>
        <v>-56547.86436595799</v>
      </c>
      <c r="X65" s="18">
        <f t="shared" si="62"/>
        <v>-8078.2663379939986</v>
      </c>
      <c r="Y65" s="18">
        <f t="shared" si="63"/>
        <v>-64626.130703951989</v>
      </c>
      <c r="Z65" s="14">
        <f t="shared" si="64"/>
        <v>3166680.4044936472</v>
      </c>
      <c r="AA65" s="69">
        <f>'[5]Adjusted Amounts'!I218</f>
        <v>0</v>
      </c>
      <c r="AB65" s="18">
        <v>0</v>
      </c>
      <c r="AC65" s="123">
        <f t="shared" si="47"/>
        <v>3166680</v>
      </c>
      <c r="AD65" s="123">
        <f>+'[6]Table 5B1_RSD_Orleans'!P65+'[7]Table 5B1_RSD_Orleans'!W65+('[8]Table 5B1_RSD_Orleans'!W65*3)+'[9]Table 5B1_RSD_Orleans'!W65+'[10]Table 5B1_RSD_Orleans'!W65+'[11]Table 5B1_RSD_Orleans'!W65</f>
        <v>1840384</v>
      </c>
      <c r="AE65" s="123">
        <f t="shared" si="48"/>
        <v>1326296</v>
      </c>
      <c r="AF65" s="123">
        <f t="shared" si="49"/>
        <v>331574</v>
      </c>
      <c r="AG65" s="119">
        <f t="shared" si="72"/>
        <v>3010860</v>
      </c>
      <c r="AH65" s="119">
        <v>0</v>
      </c>
      <c r="AI65" s="129">
        <f t="shared" si="73"/>
        <v>120</v>
      </c>
      <c r="AJ65" s="119">
        <f t="shared" si="51"/>
        <v>560160</v>
      </c>
      <c r="AK65" s="129">
        <f>+IFERROR(VLOOKUP(A65,'February midyear adj '!$A$85:$E$204,5,FALSE),"na")</f>
        <v>12</v>
      </c>
      <c r="AL65" s="119">
        <f t="shared" si="74"/>
        <v>28008</v>
      </c>
      <c r="AM65" s="119">
        <f t="shared" si="52"/>
        <v>588168</v>
      </c>
      <c r="AN65" s="28">
        <f t="shared" si="53"/>
        <v>3599028</v>
      </c>
      <c r="AO65" s="69">
        <f t="shared" si="65"/>
        <v>-62982.990000000005</v>
      </c>
      <c r="AP65" s="69">
        <f t="shared" si="66"/>
        <v>-8997.57</v>
      </c>
      <c r="AQ65" s="69">
        <f t="shared" si="67"/>
        <v>-71980.56</v>
      </c>
      <c r="AR65" s="69">
        <f t="shared" si="68"/>
        <v>3527047.44</v>
      </c>
      <c r="AS65" s="69">
        <f>'[12]Adjusted Amounts'!Q218</f>
        <v>0</v>
      </c>
      <c r="AT65" s="69">
        <v>0</v>
      </c>
      <c r="AU65" s="458">
        <f t="shared" si="54"/>
        <v>3527047.44</v>
      </c>
      <c r="AV65" s="450">
        <f>+'[13]Table 5B1_RSD_Orleans'!Y65+'[7]Table 5B1_RSD_Orleans'!AK65+('[8]Table 5B1_RSD_Orleans'!AK65*3)+'[9]Table 5B1_RSD_Orleans'!AK65+'[10]Table 5B1_RSD_Orleans'!AK65+'[11]Table 5B1_RSD_Orleans'!AK65</f>
        <v>1968780.2836363637</v>
      </c>
      <c r="AW65" s="450">
        <f t="shared" si="55"/>
        <v>1558267.1563636363</v>
      </c>
      <c r="AX65" s="462">
        <f t="shared" si="56"/>
        <v>389566.78909090906</v>
      </c>
      <c r="AY65" s="69">
        <f t="shared" si="75"/>
        <v>6693727.4399999995</v>
      </c>
      <c r="AZ65" s="69">
        <f t="shared" si="58"/>
        <v>721140.78909090906</v>
      </c>
      <c r="BA65" s="69">
        <f t="shared" si="59"/>
        <v>153064</v>
      </c>
      <c r="BB65" s="69">
        <f t="shared" si="60"/>
        <v>236502.78909090906</v>
      </c>
      <c r="BC65" s="146">
        <f t="shared" si="34"/>
        <v>0</v>
      </c>
    </row>
    <row r="66" spans="1:55" ht="32.25" customHeight="1">
      <c r="A66" s="70" t="s">
        <v>44</v>
      </c>
      <c r="B66" s="71" t="s">
        <v>71</v>
      </c>
      <c r="C66" s="72">
        <v>626</v>
      </c>
      <c r="D66" s="68">
        <f t="shared" si="35"/>
        <v>1470969.9671039644</v>
      </c>
      <c r="E66" s="13">
        <v>746.0335616438357</v>
      </c>
      <c r="F66" s="13">
        <f t="shared" si="71"/>
        <v>467017.00958904112</v>
      </c>
      <c r="G66" s="123">
        <f t="shared" si="37"/>
        <v>1937986.9766930055</v>
      </c>
      <c r="H66" s="128">
        <f>IFERROR(VLOOKUP(A66,'[4]RSD Opr + Type 5s'!$A$6:$E$77,5,FALSE),"na")</f>
        <v>20</v>
      </c>
      <c r="I66" s="123">
        <f t="shared" si="38"/>
        <v>29853.85485143308</v>
      </c>
      <c r="J66" s="128">
        <f>+IFERROR(VLOOKUP(A66,'[4]RSD Opr + Type 5s'!$A$6:$L$77,12,FALSE),"na")</f>
        <v>25</v>
      </c>
      <c r="K66" s="123">
        <f t="shared" si="39"/>
        <v>223903.9113857481</v>
      </c>
      <c r="L66" s="128">
        <f>+IFERROR(VLOOKUP(A66,'[4]RSD Opr + Type 5s'!$A$6:$V$77,22,FALSE),"na")</f>
        <v>8</v>
      </c>
      <c r="M66" s="123">
        <f t="shared" si="40"/>
        <v>131356.96134630556</v>
      </c>
      <c r="N66" s="123">
        <f t="shared" si="41"/>
        <v>385114.7275834867</v>
      </c>
      <c r="O66" s="123">
        <f t="shared" si="42"/>
        <v>2323101.7042764924</v>
      </c>
      <c r="P66" s="123">
        <f>+IFERROR(VLOOKUP(A66,'October midyear adj'!$A$128:$K$203,11,FALSE),"na")</f>
        <v>-106663.07488537527</v>
      </c>
      <c r="Q66" s="128">
        <f>+IFERROR(VLOOKUP(A66,'October midyear adj'!A144:E262,5,FALSE),"Na")</f>
        <v>-25</v>
      </c>
      <c r="R66" s="123">
        <f t="shared" si="43"/>
        <v>29267.428851309545</v>
      </c>
      <c r="S66" s="123">
        <f t="shared" si="44"/>
        <v>-77395.646034065721</v>
      </c>
      <c r="T66" s="123">
        <f>IFERROR(VLOOKUP(A66,'February midyear adj '!$A$128:$K$203,11,FALSE),"na")</f>
        <v>-29865.660967905074</v>
      </c>
      <c r="U66" s="123">
        <f t="shared" si="45"/>
        <v>-107261.3070019708</v>
      </c>
      <c r="V66" s="123">
        <f t="shared" si="46"/>
        <v>2215840.3972745216</v>
      </c>
      <c r="W66" s="18">
        <f t="shared" si="61"/>
        <v>-38777.206952304135</v>
      </c>
      <c r="X66" s="18">
        <f t="shared" si="62"/>
        <v>-5539.6009931863045</v>
      </c>
      <c r="Y66" s="18">
        <f t="shared" si="63"/>
        <v>-44316.807945490436</v>
      </c>
      <c r="Z66" s="14">
        <f t="shared" si="64"/>
        <v>2171523.5893290313</v>
      </c>
      <c r="AA66" s="69">
        <v>0</v>
      </c>
      <c r="AB66" s="18">
        <v>0</v>
      </c>
      <c r="AC66" s="123">
        <f t="shared" si="47"/>
        <v>2171524</v>
      </c>
      <c r="AD66" s="123">
        <f>+'[6]Table 5B1_RSD_Orleans'!P66+'[7]Table 5B1_RSD_Orleans'!W66+('[8]Table 5B1_RSD_Orleans'!W66*3)+'[9]Table 5B1_RSD_Orleans'!W66+'[10]Table 5B1_RSD_Orleans'!W66+'[11]Table 5B1_RSD_Orleans'!W66</f>
        <v>1698721</v>
      </c>
      <c r="AE66" s="123">
        <f t="shared" si="48"/>
        <v>472803</v>
      </c>
      <c r="AF66" s="123">
        <f t="shared" si="49"/>
        <v>118200.75</v>
      </c>
      <c r="AG66" s="119">
        <f t="shared" si="72"/>
        <v>2922168</v>
      </c>
      <c r="AH66" s="119">
        <v>0</v>
      </c>
      <c r="AI66" s="129">
        <f t="shared" si="73"/>
        <v>-25</v>
      </c>
      <c r="AJ66" s="119">
        <f t="shared" si="51"/>
        <v>-116700</v>
      </c>
      <c r="AK66" s="129">
        <f>+IFERROR(VLOOKUP(A66,'February midyear adj '!$A$85:$E$204,5,FALSE),"na")</f>
        <v>-14</v>
      </c>
      <c r="AL66" s="119">
        <f t="shared" si="74"/>
        <v>-32676</v>
      </c>
      <c r="AM66" s="119">
        <f t="shared" si="52"/>
        <v>-149376</v>
      </c>
      <c r="AN66" s="28">
        <f t="shared" si="53"/>
        <v>2772792</v>
      </c>
      <c r="AO66" s="69">
        <f t="shared" si="65"/>
        <v>-48523.860000000008</v>
      </c>
      <c r="AP66" s="69">
        <f t="shared" si="66"/>
        <v>-6931.9800000000005</v>
      </c>
      <c r="AQ66" s="69">
        <f t="shared" si="67"/>
        <v>-55455.840000000011</v>
      </c>
      <c r="AR66" s="69">
        <f t="shared" si="68"/>
        <v>2717336.16</v>
      </c>
      <c r="AS66" s="69">
        <f>'[12]Adjusted Amounts'!Q218</f>
        <v>0</v>
      </c>
      <c r="AT66" s="69">
        <v>0</v>
      </c>
      <c r="AU66" s="458">
        <f t="shared" si="54"/>
        <v>2717336.16</v>
      </c>
      <c r="AV66" s="450">
        <f>+'[13]Table 5B1_RSD_Orleans'!Y66+'[7]Table 5B1_RSD_Orleans'!AK66+('[8]Table 5B1_RSD_Orleans'!AK66*3)+'[9]Table 5B1_RSD_Orleans'!AK66+'[10]Table 5B1_RSD_Orleans'!AK66+'[11]Table 5B1_RSD_Orleans'!AK66</f>
        <v>1910785.9820606061</v>
      </c>
      <c r="AW66" s="450">
        <f t="shared" si="55"/>
        <v>806550.17793939402</v>
      </c>
      <c r="AX66" s="462">
        <f t="shared" si="56"/>
        <v>201637.54448484851</v>
      </c>
      <c r="AY66" s="69">
        <f t="shared" si="75"/>
        <v>4888860.16</v>
      </c>
      <c r="AZ66" s="69">
        <f t="shared" si="58"/>
        <v>319838.29448484851</v>
      </c>
      <c r="BA66" s="69">
        <f t="shared" si="59"/>
        <v>79225</v>
      </c>
      <c r="BB66" s="69">
        <f t="shared" si="60"/>
        <v>122412.54448484851</v>
      </c>
      <c r="BC66" s="146">
        <f t="shared" si="34"/>
        <v>0</v>
      </c>
    </row>
    <row r="67" spans="1:55" s="78" customFormat="1" ht="15.75">
      <c r="A67" s="20"/>
      <c r="B67" s="21" t="s">
        <v>46</v>
      </c>
      <c r="C67" s="73">
        <f>SUM(C10:C66)</f>
        <v>26595</v>
      </c>
      <c r="D67" s="74">
        <f>SUM(D10:D66)</f>
        <v>62492725.679121301</v>
      </c>
      <c r="E67" s="73"/>
      <c r="F67" s="75">
        <f>SUM(F10:F66)</f>
        <v>19486770.073519465</v>
      </c>
      <c r="G67" s="75">
        <f>SUM(G10:G66)</f>
        <v>81979495.752640769</v>
      </c>
      <c r="H67" s="399">
        <f t="shared" ref="H67:N67" si="76">SUM(H10:H66)</f>
        <v>687</v>
      </c>
      <c r="I67" s="75">
        <f t="shared" si="76"/>
        <v>1025479.9141467264</v>
      </c>
      <c r="J67" s="399">
        <f t="shared" si="76"/>
        <v>2334</v>
      </c>
      <c r="K67" s="75">
        <f t="shared" si="76"/>
        <v>20903669.166973446</v>
      </c>
      <c r="L67" s="399">
        <f t="shared" si="76"/>
        <v>575</v>
      </c>
      <c r="M67" s="75">
        <f t="shared" si="76"/>
        <v>9441281.5967657175</v>
      </c>
      <c r="N67" s="75">
        <f t="shared" si="76"/>
        <v>31370430.677885886</v>
      </c>
      <c r="O67" s="75">
        <f t="shared" ref="O67:V67" si="77">SUM(O10:O66)</f>
        <v>113349926.43052663</v>
      </c>
      <c r="P67" s="75">
        <f t="shared" si="77"/>
        <v>6505538.7681770287</v>
      </c>
      <c r="Q67" s="399">
        <f t="shared" si="77"/>
        <v>1536</v>
      </c>
      <c r="R67" s="75">
        <f t="shared" si="77"/>
        <v>-1798190.8286244588</v>
      </c>
      <c r="S67" s="75">
        <f t="shared" si="77"/>
        <v>4707347.9395525707</v>
      </c>
      <c r="T67" s="75">
        <f t="shared" si="77"/>
        <v>74842.338548394197</v>
      </c>
      <c r="U67" s="75">
        <f t="shared" si="77"/>
        <v>4782190.2781009646</v>
      </c>
      <c r="V67" s="75">
        <f t="shared" si="77"/>
        <v>118132116.70862763</v>
      </c>
      <c r="W67" s="75">
        <f t="shared" ref="W67:Z67" si="78">SUM(W10:W66)</f>
        <v>-2067312.0424009832</v>
      </c>
      <c r="X67" s="75">
        <f t="shared" si="78"/>
        <v>-295330.291771569</v>
      </c>
      <c r="Y67" s="75">
        <f t="shared" si="78"/>
        <v>-2362642.3341725525</v>
      </c>
      <c r="Z67" s="79">
        <f t="shared" si="78"/>
        <v>115769474.37445505</v>
      </c>
      <c r="AA67" s="75">
        <f t="shared" ref="AA67" si="79">SUM(AA10:AA66)</f>
        <v>-462840.25569234067</v>
      </c>
      <c r="AB67" s="75">
        <f t="shared" ref="AB67" si="80">SUM(AB10:AB66)</f>
        <v>56549</v>
      </c>
      <c r="AC67" s="75">
        <f>SUM(AC10:AC66)</f>
        <v>115363185</v>
      </c>
      <c r="AD67" s="75">
        <f t="shared" ref="AD67:AF67" si="81">SUM(AD10:AD66)</f>
        <v>75219497</v>
      </c>
      <c r="AE67" s="75">
        <f t="shared" si="81"/>
        <v>40143688</v>
      </c>
      <c r="AF67" s="75">
        <f t="shared" si="81"/>
        <v>10035922</v>
      </c>
      <c r="AG67" s="124">
        <f t="shared" ref="AG67:AY67" si="82">SUM(AG10:AG66)</f>
        <v>118086396</v>
      </c>
      <c r="AH67" s="124">
        <f t="shared" si="82"/>
        <v>7052034</v>
      </c>
      <c r="AI67" s="400">
        <f t="shared" si="82"/>
        <v>1536</v>
      </c>
      <c r="AJ67" s="124">
        <f t="shared" si="82"/>
        <v>7279443</v>
      </c>
      <c r="AK67" s="400">
        <f t="shared" si="82"/>
        <v>34</v>
      </c>
      <c r="AL67" s="124">
        <f t="shared" si="82"/>
        <v>72471</v>
      </c>
      <c r="AM67" s="124">
        <f t="shared" si="82"/>
        <v>7351914</v>
      </c>
      <c r="AN67" s="77">
        <f t="shared" si="82"/>
        <v>132490344</v>
      </c>
      <c r="AO67" s="77">
        <f t="shared" si="82"/>
        <v>-2318581.02</v>
      </c>
      <c r="AP67" s="77">
        <f t="shared" si="82"/>
        <v>-331225.86</v>
      </c>
      <c r="AQ67" s="77">
        <f t="shared" si="82"/>
        <v>-2649806.8800000004</v>
      </c>
      <c r="AR67" s="77">
        <f t="shared" si="82"/>
        <v>129840537.11999999</v>
      </c>
      <c r="AS67" s="77">
        <f t="shared" si="82"/>
        <v>-306912</v>
      </c>
      <c r="AT67" s="77">
        <f t="shared" ref="AT67" si="83">SUM(AT10:AT66)</f>
        <v>56646</v>
      </c>
      <c r="AU67" s="459">
        <f t="shared" si="82"/>
        <v>129590271.11999999</v>
      </c>
      <c r="AV67" s="447">
        <f t="shared" ref="AV67:AX67" si="84">SUM(AV10:AV66)</f>
        <v>83815271.542969704</v>
      </c>
      <c r="AW67" s="447">
        <f t="shared" si="84"/>
        <v>45774999.577030294</v>
      </c>
      <c r="AX67" s="463">
        <f t="shared" si="84"/>
        <v>11443749.894257573</v>
      </c>
      <c r="AY67" s="76">
        <f t="shared" si="82"/>
        <v>244953456.11999997</v>
      </c>
      <c r="AZ67" s="76">
        <f t="shared" ref="AZ67:BC67" si="85">SUM(AZ10:AZ66)</f>
        <v>21479671.894257583</v>
      </c>
      <c r="BA67" s="76">
        <f t="shared" si="85"/>
        <v>4496337</v>
      </c>
      <c r="BB67" s="76">
        <f t="shared" si="85"/>
        <v>6947412.8942575743</v>
      </c>
      <c r="BC67" s="76">
        <f t="shared" si="85"/>
        <v>0</v>
      </c>
    </row>
    <row r="68" spans="1:55" s="78" customFormat="1" ht="31.5">
      <c r="A68" s="20"/>
      <c r="B68" s="21" t="s">
        <v>47</v>
      </c>
      <c r="C68" s="73">
        <f>C67+C7</f>
        <v>28976</v>
      </c>
      <c r="D68" s="74">
        <f>D67+D7</f>
        <v>68087581.097131744</v>
      </c>
      <c r="E68" s="73"/>
      <c r="F68" s="75">
        <f>F67+F7</f>
        <v>21384551.944738973</v>
      </c>
      <c r="G68" s="124">
        <f>G67+G7</f>
        <v>89472133.041870728</v>
      </c>
      <c r="H68" s="400">
        <f>H67+H7</f>
        <v>756</v>
      </c>
      <c r="I68" s="124">
        <f t="shared" ref="I68:N68" si="86">I67+I7</f>
        <v>1128475.7133841706</v>
      </c>
      <c r="J68" s="400">
        <f t="shared" si="86"/>
        <v>2522</v>
      </c>
      <c r="K68" s="124">
        <f t="shared" si="86"/>
        <v>22587426.580594271</v>
      </c>
      <c r="L68" s="400">
        <f t="shared" si="86"/>
        <v>630</v>
      </c>
      <c r="M68" s="124">
        <f t="shared" si="86"/>
        <v>10344360.706021568</v>
      </c>
      <c r="N68" s="124">
        <f t="shared" si="86"/>
        <v>34060263.000000007</v>
      </c>
      <c r="O68" s="124">
        <f t="shared" ref="O68:V68" si="87">O67+O7</f>
        <v>123532396.04187071</v>
      </c>
      <c r="P68" s="75">
        <f>P67+P7</f>
        <v>383264.38427334744</v>
      </c>
      <c r="Q68" s="399">
        <f t="shared" si="87"/>
        <v>118</v>
      </c>
      <c r="R68" s="75">
        <f t="shared" si="87"/>
        <v>-138142.2641781813</v>
      </c>
      <c r="S68" s="75">
        <f t="shared" si="87"/>
        <v>245122.12009516638</v>
      </c>
      <c r="T68" s="75">
        <f t="shared" si="87"/>
        <v>152558.09236381471</v>
      </c>
      <c r="U68" s="75">
        <f t="shared" si="87"/>
        <v>397680.2124589812</v>
      </c>
      <c r="V68" s="75">
        <f t="shared" si="87"/>
        <v>123930076.25432973</v>
      </c>
      <c r="W68" s="109">
        <f t="shared" ref="W68:Y68" si="88">W67+W7</f>
        <v>0</v>
      </c>
      <c r="X68" s="75">
        <f>X67</f>
        <v>-295330.291771569</v>
      </c>
      <c r="Y68" s="75">
        <f t="shared" si="88"/>
        <v>-295330.29177156929</v>
      </c>
      <c r="Z68" s="79">
        <f>Z67+Z7</f>
        <v>123634745.96255812</v>
      </c>
      <c r="AA68" s="80">
        <f>AA67+AA7</f>
        <v>-784998.1814409392</v>
      </c>
      <c r="AB68" s="80">
        <f>AB67+AB7</f>
        <v>35261</v>
      </c>
      <c r="AC68" s="124">
        <f>AC67+AC7</f>
        <v>122885011</v>
      </c>
      <c r="AD68" s="447">
        <f t="shared" ref="AD68:AF68" si="89">AD67+AD7</f>
        <v>80104584</v>
      </c>
      <c r="AE68" s="447">
        <f t="shared" si="89"/>
        <v>42780427</v>
      </c>
      <c r="AF68" s="447">
        <f t="shared" si="89"/>
        <v>10695106.75</v>
      </c>
      <c r="AG68" s="118">
        <f>AG67+AG7</f>
        <v>129200904</v>
      </c>
      <c r="AH68" s="124">
        <f t="shared" ref="AH68:AY68" si="90">AH67+AH7</f>
        <v>7052034</v>
      </c>
      <c r="AI68" s="400">
        <f t="shared" si="90"/>
        <v>118</v>
      </c>
      <c r="AJ68" s="124">
        <f t="shared" si="90"/>
        <v>660219</v>
      </c>
      <c r="AK68" s="400">
        <f t="shared" si="90"/>
        <v>70</v>
      </c>
      <c r="AL68" s="124">
        <f t="shared" si="90"/>
        <v>156495</v>
      </c>
      <c r="AM68" s="124">
        <f t="shared" si="90"/>
        <v>816714</v>
      </c>
      <c r="AN68" s="77">
        <f t="shared" si="90"/>
        <v>137069652</v>
      </c>
      <c r="AO68" s="76">
        <f t="shared" si="90"/>
        <v>0</v>
      </c>
      <c r="AP68" s="76">
        <f t="shared" si="90"/>
        <v>-331225.86</v>
      </c>
      <c r="AQ68" s="76">
        <f t="shared" si="90"/>
        <v>-331225.86000000034</v>
      </c>
      <c r="AR68" s="76">
        <f t="shared" si="90"/>
        <v>136738426.13999999</v>
      </c>
      <c r="AS68" s="76">
        <f t="shared" si="90"/>
        <v>-380282.5</v>
      </c>
      <c r="AT68" s="76">
        <f t="shared" ref="AT68" si="91">AT67+AT7</f>
        <v>100704</v>
      </c>
      <c r="AU68" s="459">
        <f t="shared" si="90"/>
        <v>136458847.63999999</v>
      </c>
      <c r="AV68" s="447">
        <f t="shared" ref="AV68:AX68" si="92">AV67+AV7</f>
        <v>88975658.909916669</v>
      </c>
      <c r="AW68" s="447">
        <f t="shared" si="92"/>
        <v>47483188.730083324</v>
      </c>
      <c r="AX68" s="463">
        <f t="shared" si="92"/>
        <v>11870797.182520831</v>
      </c>
      <c r="AY68" s="76">
        <f t="shared" si="90"/>
        <v>259343858.63999999</v>
      </c>
      <c r="AZ68" s="76">
        <f t="shared" ref="AZ68:BC68" si="93">AZ67+AZ7</f>
        <v>22565903.93252084</v>
      </c>
      <c r="BA68" s="76">
        <f t="shared" si="93"/>
        <v>4664125</v>
      </c>
      <c r="BB68" s="76">
        <f t="shared" si="93"/>
        <v>7206672.1825208319</v>
      </c>
      <c r="BC68" s="76">
        <f t="shared" si="93"/>
        <v>0</v>
      </c>
    </row>
    <row r="69" spans="1:55" ht="8.25" customHeight="1">
      <c r="A69" s="81"/>
      <c r="B69" s="82"/>
      <c r="C69" s="83"/>
      <c r="D69" s="84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6"/>
      <c r="AD69" s="448"/>
      <c r="AE69" s="448"/>
      <c r="AF69" s="448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448"/>
      <c r="AW69" s="448"/>
      <c r="AX69" s="448"/>
      <c r="AY69" s="86"/>
      <c r="AZ69" s="86"/>
      <c r="BA69" s="86"/>
      <c r="BB69" s="86"/>
    </row>
    <row r="70" spans="1:55" ht="16.5" thickBot="1">
      <c r="A70" s="87"/>
      <c r="B70" s="88" t="s">
        <v>50</v>
      </c>
      <c r="C70" s="89"/>
      <c r="D70" s="90"/>
      <c r="E70" s="140" t="s">
        <v>56</v>
      </c>
      <c r="F70" s="140" t="s">
        <v>56</v>
      </c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117" t="s">
        <v>56</v>
      </c>
      <c r="X70" s="94">
        <f>-X68</f>
        <v>295330.291771569</v>
      </c>
      <c r="Y70" s="94">
        <f>-Y68</f>
        <v>295330.29177156929</v>
      </c>
      <c r="Z70" s="92">
        <f>Y70</f>
        <v>295330.29177156929</v>
      </c>
      <c r="AA70" s="138" t="s">
        <v>56</v>
      </c>
      <c r="AB70" s="438" t="s">
        <v>56</v>
      </c>
      <c r="AC70" s="94">
        <f>Z70</f>
        <v>295330.29177156929</v>
      </c>
      <c r="AD70" s="94">
        <v>281572</v>
      </c>
      <c r="AE70" s="94">
        <f>AC70-AD70</f>
        <v>13758.291771569289</v>
      </c>
      <c r="AF70" s="94"/>
      <c r="AG70" s="117" t="s">
        <v>56</v>
      </c>
      <c r="AH70" s="117" t="s">
        <v>56</v>
      </c>
      <c r="AI70" s="94"/>
      <c r="AJ70" s="94"/>
      <c r="AK70" s="94"/>
      <c r="AL70" s="94"/>
      <c r="AM70" s="94"/>
      <c r="AN70" s="94"/>
      <c r="AO70" s="94"/>
      <c r="AP70" s="94">
        <f>-AP68</f>
        <v>331225.86</v>
      </c>
      <c r="AQ70" s="94">
        <f>-AQ68</f>
        <v>331225.86000000034</v>
      </c>
      <c r="AR70" s="94">
        <f>AQ70</f>
        <v>331225.86000000034</v>
      </c>
      <c r="AS70" s="94"/>
      <c r="AT70" s="441"/>
      <c r="AU70" s="460">
        <f>AR70</f>
        <v>331225.86000000034</v>
      </c>
      <c r="AV70" s="451">
        <v>313125</v>
      </c>
      <c r="AW70" s="451">
        <f>AU70-AV70</f>
        <v>18100.860000000335</v>
      </c>
      <c r="AX70" s="460"/>
      <c r="AY70" s="94">
        <f>AQ70+Y70</f>
        <v>626556.15177156962</v>
      </c>
      <c r="AZ70" s="94"/>
      <c r="BA70" s="94"/>
      <c r="BB70" s="94"/>
    </row>
    <row r="71" spans="1:55" ht="8.25" customHeight="1" thickTop="1">
      <c r="A71" s="102"/>
      <c r="B71" s="103"/>
      <c r="C71" s="104"/>
      <c r="D71" s="105"/>
      <c r="E71" s="139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7"/>
      <c r="AD71" s="449"/>
      <c r="AE71" s="449"/>
      <c r="AF71" s="449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449"/>
      <c r="AW71" s="449"/>
      <c r="AX71" s="449"/>
      <c r="AY71" s="107"/>
      <c r="AZ71" s="107"/>
      <c r="BA71" s="107"/>
      <c r="BB71" s="107"/>
    </row>
    <row r="72" spans="1:55" ht="16.5" thickBot="1">
      <c r="A72" s="87"/>
      <c r="B72" s="88" t="s">
        <v>49</v>
      </c>
      <c r="C72" s="89">
        <f>C68</f>
        <v>28976</v>
      </c>
      <c r="D72" s="89">
        <f>D68</f>
        <v>68087581.097131744</v>
      </c>
      <c r="E72" s="140" t="s">
        <v>56</v>
      </c>
      <c r="F72" s="91">
        <f>F68</f>
        <v>21384551.944738973</v>
      </c>
      <c r="G72" s="92"/>
      <c r="H72" s="92"/>
      <c r="I72" s="92"/>
      <c r="J72" s="92"/>
      <c r="K72" s="92"/>
      <c r="L72" s="92"/>
      <c r="M72" s="92">
        <f>M68</f>
        <v>10344360.706021568</v>
      </c>
      <c r="N72" s="92">
        <f t="shared" ref="N72:O72" si="94">N68</f>
        <v>34060263.000000007</v>
      </c>
      <c r="O72" s="92">
        <f t="shared" si="94"/>
        <v>123532396.04187071</v>
      </c>
      <c r="P72" s="92"/>
      <c r="Q72" s="92"/>
      <c r="R72" s="92">
        <f>R68</f>
        <v>-138142.2641781813</v>
      </c>
      <c r="S72" s="92">
        <f t="shared" ref="S72:V72" si="95">S68</f>
        <v>245122.12009516638</v>
      </c>
      <c r="T72" s="92">
        <f t="shared" si="95"/>
        <v>152558.09236381471</v>
      </c>
      <c r="U72" s="92">
        <f t="shared" si="95"/>
        <v>397680.2124589812</v>
      </c>
      <c r="V72" s="92">
        <f t="shared" si="95"/>
        <v>123930076.25432973</v>
      </c>
      <c r="W72" s="94">
        <f>W68</f>
        <v>0</v>
      </c>
      <c r="X72" s="94">
        <f>SUM(X68:X70)</f>
        <v>0</v>
      </c>
      <c r="Y72" s="94">
        <f>SUM(Y68:Y70)</f>
        <v>0</v>
      </c>
      <c r="Z72" s="92">
        <f>SUM(Z68:Z70)</f>
        <v>123930076.2543297</v>
      </c>
      <c r="AA72" s="93">
        <f>AA68</f>
        <v>-784998.1814409392</v>
      </c>
      <c r="AB72" s="439">
        <f>AB68</f>
        <v>35261</v>
      </c>
      <c r="AC72" s="94">
        <f>SUM(AC68:AC70)</f>
        <v>123180341.29177158</v>
      </c>
      <c r="AD72" s="94">
        <f>SUM(AD68:AD70)</f>
        <v>80386156</v>
      </c>
      <c r="AE72" s="94">
        <f>SUM(AE68:AE70)</f>
        <v>42794185.291771568</v>
      </c>
      <c r="AF72" s="94">
        <f>SUM(AF68:AF70)</f>
        <v>10695106.75</v>
      </c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466"/>
      <c r="AT72" s="467"/>
      <c r="AU72" s="94">
        <f>AU68+AU70</f>
        <v>136790073.5</v>
      </c>
      <c r="AV72" s="94">
        <f t="shared" ref="AV72:AW72" si="96">AV68+AV70</f>
        <v>89288783.909916669</v>
      </c>
      <c r="AW72" s="94">
        <f t="shared" si="96"/>
        <v>47501289.590083323</v>
      </c>
      <c r="AX72" s="94"/>
      <c r="AY72" s="94"/>
      <c r="AZ72" s="94"/>
      <c r="BA72" s="94"/>
      <c r="BB72" s="94"/>
    </row>
    <row r="73" spans="1:55" ht="13.5" thickTop="1">
      <c r="A73" s="95"/>
      <c r="B73" s="95"/>
      <c r="C73" s="96"/>
      <c r="D73" s="97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98"/>
      <c r="AB73" s="440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</row>
    <row r="74" spans="1:55" ht="22.5" customHeight="1">
      <c r="A74" s="95"/>
      <c r="B74" s="95"/>
      <c r="C74" s="509"/>
      <c r="D74" s="509"/>
      <c r="E74" s="509"/>
      <c r="F74" s="509"/>
      <c r="G74" s="509"/>
      <c r="H74" s="509"/>
      <c r="I74" s="509"/>
      <c r="J74" s="509"/>
      <c r="K74" s="509"/>
      <c r="L74" s="509"/>
      <c r="M74" s="509"/>
      <c r="N74" s="509"/>
      <c r="O74" s="509"/>
      <c r="P74" s="509"/>
      <c r="Q74" s="509"/>
      <c r="R74" s="509"/>
      <c r="S74" s="509"/>
      <c r="T74" s="509"/>
      <c r="U74" s="509"/>
      <c r="V74" s="509"/>
      <c r="W74" s="509"/>
      <c r="X74" s="509"/>
      <c r="Y74" s="509"/>
      <c r="Z74" s="509"/>
      <c r="AA74" s="509"/>
      <c r="AB74" s="509"/>
      <c r="AC74" s="509"/>
      <c r="AD74" s="396"/>
      <c r="AE74" s="396"/>
      <c r="AF74" s="396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</row>
    <row r="75" spans="1:55" ht="22.5" customHeight="1">
      <c r="B75" s="99"/>
      <c r="C75" s="510"/>
      <c r="D75" s="510"/>
      <c r="E75" s="510"/>
      <c r="F75" s="510"/>
      <c r="G75" s="510"/>
      <c r="H75" s="510"/>
      <c r="I75" s="510"/>
      <c r="J75" s="510"/>
      <c r="K75" s="510"/>
      <c r="L75" s="510"/>
      <c r="M75" s="510"/>
      <c r="N75" s="510"/>
      <c r="O75" s="510"/>
      <c r="P75" s="510"/>
      <c r="Q75" s="510"/>
      <c r="R75" s="510"/>
      <c r="S75" s="510"/>
      <c r="T75" s="510"/>
      <c r="U75" s="510"/>
      <c r="V75" s="510"/>
      <c r="W75" s="510"/>
      <c r="X75" s="510"/>
      <c r="Y75" s="510"/>
      <c r="Z75" s="510"/>
      <c r="AA75" s="510"/>
      <c r="AB75" s="510"/>
      <c r="AC75" s="510"/>
      <c r="AD75" s="397"/>
      <c r="AE75" s="397"/>
      <c r="AF75" s="397"/>
      <c r="AG75" s="510"/>
      <c r="AH75" s="510"/>
      <c r="AI75" s="510"/>
      <c r="AJ75" s="510"/>
      <c r="AK75" s="510"/>
      <c r="AL75" s="510"/>
      <c r="AM75" s="510"/>
      <c r="AN75" s="510"/>
      <c r="AO75" s="510"/>
      <c r="AP75" s="510"/>
      <c r="AQ75" s="510"/>
      <c r="AR75" s="510"/>
      <c r="AS75" s="510"/>
      <c r="AT75" s="510"/>
      <c r="AU75" s="510"/>
      <c r="AV75" s="397"/>
      <c r="AW75" s="397"/>
      <c r="AX75" s="397"/>
      <c r="AY75" s="99"/>
      <c r="AZ75" s="99"/>
      <c r="BA75" s="99"/>
      <c r="BB75" s="99"/>
    </row>
    <row r="76" spans="1:55" ht="18.75" customHeight="1">
      <c r="C76" s="499"/>
      <c r="D76" s="500"/>
      <c r="E76" s="500"/>
      <c r="F76" s="500"/>
      <c r="G76" s="500"/>
      <c r="H76" s="500"/>
      <c r="I76" s="500"/>
      <c r="J76" s="500"/>
      <c r="K76" s="500"/>
      <c r="L76" s="500"/>
      <c r="M76" s="500"/>
      <c r="N76" s="500"/>
      <c r="O76" s="500"/>
      <c r="P76" s="500"/>
      <c r="Q76" s="500"/>
      <c r="R76" s="500"/>
      <c r="S76" s="500"/>
      <c r="T76" s="500"/>
      <c r="U76" s="500"/>
      <c r="V76" s="500"/>
      <c r="W76" s="500"/>
      <c r="X76" s="500"/>
      <c r="Y76" s="500"/>
      <c r="Z76" s="500"/>
      <c r="AA76" s="500"/>
      <c r="AB76" s="500"/>
      <c r="AC76" s="500"/>
      <c r="AD76" s="394"/>
      <c r="AE76" s="394"/>
      <c r="AF76" s="394"/>
      <c r="AG76" s="142"/>
      <c r="AH76" s="142"/>
      <c r="AI76" s="142"/>
      <c r="AJ76" s="142"/>
      <c r="AK76" s="142"/>
      <c r="AL76" s="142"/>
      <c r="AM76" s="142"/>
      <c r="AN76" s="142"/>
      <c r="AO76" s="143" t="s">
        <v>139</v>
      </c>
      <c r="AP76" s="144">
        <f>AP68</f>
        <v>-331225.86</v>
      </c>
      <c r="AQ76" s="143"/>
      <c r="AR76" s="143"/>
      <c r="AS76" s="143"/>
      <c r="AT76" s="147"/>
      <c r="AU76" s="143"/>
      <c r="AV76" s="394"/>
      <c r="AW76" s="394"/>
      <c r="AX76" s="394"/>
    </row>
    <row r="77" spans="1:55">
      <c r="AO77" s="1" t="s">
        <v>140</v>
      </c>
      <c r="AP77" s="145">
        <f>'[13]Table 5B1_RSD_Orleans'!$T$70</f>
        <v>313125.00500000006</v>
      </c>
    </row>
    <row r="78" spans="1:55" ht="17.25" customHeight="1">
      <c r="E78" s="13"/>
      <c r="AP78" s="146">
        <f>AP76+AP77</f>
        <v>-18100.854999999923</v>
      </c>
    </row>
  </sheetData>
  <mergeCells count="53">
    <mergeCell ref="BA4:BA5"/>
    <mergeCell ref="BB4:BB5"/>
    <mergeCell ref="BC3:BD3"/>
    <mergeCell ref="AZ4:AZ5"/>
    <mergeCell ref="AI3:AM3"/>
    <mergeCell ref="AN4:AN5"/>
    <mergeCell ref="AO3:AQ3"/>
    <mergeCell ref="AR4:AR5"/>
    <mergeCell ref="AU4:AU5"/>
    <mergeCell ref="AM4:AM5"/>
    <mergeCell ref="AI4:AI5"/>
    <mergeCell ref="AJ4:AJ5"/>
    <mergeCell ref="AL4:AL5"/>
    <mergeCell ref="AK4:AK5"/>
    <mergeCell ref="AS3:AT3"/>
    <mergeCell ref="AG3:AH3"/>
    <mergeCell ref="H4:H5"/>
    <mergeCell ref="J4:J5"/>
    <mergeCell ref="L4:L5"/>
    <mergeCell ref="N4:N5"/>
    <mergeCell ref="O4:O5"/>
    <mergeCell ref="P3:U3"/>
    <mergeCell ref="AC4:AC5"/>
    <mergeCell ref="V4:V5"/>
    <mergeCell ref="C76:AC76"/>
    <mergeCell ref="B8:AC8"/>
    <mergeCell ref="AQ4:AQ5"/>
    <mergeCell ref="AS4:AS5"/>
    <mergeCell ref="AY4:AY5"/>
    <mergeCell ref="P4:P5"/>
    <mergeCell ref="Q4:Q5"/>
    <mergeCell ref="S4:S5"/>
    <mergeCell ref="T4:T5"/>
    <mergeCell ref="AT4:AT5"/>
    <mergeCell ref="C74:AC74"/>
    <mergeCell ref="C75:AC75"/>
    <mergeCell ref="AG75:AU75"/>
    <mergeCell ref="A1:AC1"/>
    <mergeCell ref="A4:A5"/>
    <mergeCell ref="B4:B5"/>
    <mergeCell ref="C4:C5"/>
    <mergeCell ref="E4:E5"/>
    <mergeCell ref="F4:F5"/>
    <mergeCell ref="G4:G5"/>
    <mergeCell ref="AA4:AA5"/>
    <mergeCell ref="W3:Y3"/>
    <mergeCell ref="Y4:Y5"/>
    <mergeCell ref="Z4:Z5"/>
    <mergeCell ref="U4:U5"/>
    <mergeCell ref="E3:F3"/>
    <mergeCell ref="H3:N3"/>
    <mergeCell ref="AA3:AB3"/>
    <mergeCell ref="AB4:AB5"/>
  </mergeCells>
  <printOptions horizontalCentered="1"/>
  <pageMargins left="0.2" right="0.2" top="1.0900000000000001" bottom="0.77" header="0.32" footer="0.19"/>
  <pageSetup paperSize="5" scale="59" firstPageNumber="46" fitToHeight="2" orientation="portrait" useFirstPageNumber="1" r:id="rId1"/>
  <headerFooter alignWithMargins="0">
    <oddHeader xml:space="preserve">&amp;C&amp;"Arial,Bold"&amp;24Recovery School District: RSD Orleans&amp;"Arial,Regular"&amp;10
&amp;"Arial,Bold"&amp;18FY2013-14 State and Local Allocation (March 2014)&amp;R
</oddHeader>
    <oddFooter>&amp;R&amp;16&amp;P</oddFooter>
  </headerFooter>
  <rowBreaks count="1" manualBreakCount="1">
    <brk id="44" max="53" man="1"/>
  </rowBreaks>
  <colBreaks count="6" manualBreakCount="6">
    <brk id="7" min="1" max="73" man="1"/>
    <brk id="15" min="1" max="73" man="1"/>
    <brk id="22" min="1" max="73" man="1"/>
    <brk id="29" min="1" max="73" man="1"/>
    <brk id="32" min="1" max="73" man="1"/>
    <brk id="40" min="1" max="73" man="1"/>
  </colBreaks>
  <ignoredErrors>
    <ignoredError sqref="AK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7"/>
  <sheetViews>
    <sheetView view="pageBreakPreview" zoomScale="80" zoomScaleNormal="70" zoomScaleSheetLayoutView="80" workbookViewId="0">
      <pane xSplit="2" ySplit="5" topLeftCell="C6" activePane="bottomRight" state="frozen"/>
      <selection activeCell="B83" sqref="B83"/>
      <selection pane="topRight" activeCell="B83" sqref="B83"/>
      <selection pane="bottomLeft" activeCell="B83" sqref="B83"/>
      <selection pane="bottomRight" activeCell="B150" sqref="B150"/>
    </sheetView>
  </sheetViews>
  <sheetFormatPr defaultRowHeight="12.75"/>
  <cols>
    <col min="1" max="1" width="8.7109375" style="151" bestFit="1" customWidth="1"/>
    <col min="2" max="2" width="77.5703125" style="151" bestFit="1" customWidth="1"/>
    <col min="3" max="3" width="16" style="151" customWidth="1"/>
    <col min="4" max="4" width="12.7109375" style="151" bestFit="1" customWidth="1"/>
    <col min="5" max="5" width="14.140625" style="151" bestFit="1" customWidth="1"/>
    <col min="6" max="6" width="11.42578125" style="151" bestFit="1" customWidth="1"/>
    <col min="7" max="7" width="15" style="151" customWidth="1"/>
    <col min="8" max="8" width="13.42578125" style="368" bestFit="1" customWidth="1"/>
    <col min="9" max="9" width="10.28515625" style="377" bestFit="1" customWidth="1"/>
    <col min="10" max="10" width="12.28515625" style="151" customWidth="1"/>
    <col min="11" max="11" width="16.42578125" style="368" bestFit="1" customWidth="1"/>
    <col min="12" max="12" width="14.42578125" style="151" bestFit="1" customWidth="1"/>
    <col min="13" max="13" width="15.140625" style="151" bestFit="1" customWidth="1"/>
    <col min="14" max="253" width="9.140625" style="151"/>
    <col min="254" max="254" width="4.42578125" style="151" customWidth="1"/>
    <col min="255" max="255" width="46.85546875" style="151" customWidth="1"/>
    <col min="256" max="256" width="11.28515625" style="151" bestFit="1" customWidth="1"/>
    <col min="257" max="257" width="11.42578125" style="151" bestFit="1" customWidth="1"/>
    <col min="258" max="258" width="11.85546875" style="151" customWidth="1"/>
    <col min="259" max="259" width="10" style="151" customWidth="1"/>
    <col min="260" max="260" width="11.140625" style="151" customWidth="1"/>
    <col min="261" max="261" width="10.28515625" style="151" bestFit="1" customWidth="1"/>
    <col min="262" max="262" width="10.140625" style="151" bestFit="1" customWidth="1"/>
    <col min="263" max="263" width="12" style="151" bestFit="1" customWidth="1"/>
    <col min="264" max="264" width="14.28515625" style="151" bestFit="1" customWidth="1"/>
    <col min="265" max="265" width="13.5703125" style="151" bestFit="1" customWidth="1"/>
    <col min="266" max="266" width="13.85546875" style="151" bestFit="1" customWidth="1"/>
    <col min="267" max="509" width="9.140625" style="151"/>
    <col min="510" max="510" width="4.42578125" style="151" customWidth="1"/>
    <col min="511" max="511" width="46.85546875" style="151" customWidth="1"/>
    <col min="512" max="512" width="11.28515625" style="151" bestFit="1" customWidth="1"/>
    <col min="513" max="513" width="11.42578125" style="151" bestFit="1" customWidth="1"/>
    <col min="514" max="514" width="11.85546875" style="151" customWidth="1"/>
    <col min="515" max="515" width="10" style="151" customWidth="1"/>
    <col min="516" max="516" width="11.140625" style="151" customWidth="1"/>
    <col min="517" max="517" width="10.28515625" style="151" bestFit="1" customWidth="1"/>
    <col min="518" max="518" width="10.140625" style="151" bestFit="1" customWidth="1"/>
    <col min="519" max="519" width="12" style="151" bestFit="1" customWidth="1"/>
    <col min="520" max="520" width="14.28515625" style="151" bestFit="1" customWidth="1"/>
    <col min="521" max="521" width="13.5703125" style="151" bestFit="1" customWidth="1"/>
    <col min="522" max="522" width="13.85546875" style="151" bestFit="1" customWidth="1"/>
    <col min="523" max="765" width="9.140625" style="151"/>
    <col min="766" max="766" width="4.42578125" style="151" customWidth="1"/>
    <col min="767" max="767" width="46.85546875" style="151" customWidth="1"/>
    <col min="768" max="768" width="11.28515625" style="151" bestFit="1" customWidth="1"/>
    <col min="769" max="769" width="11.42578125" style="151" bestFit="1" customWidth="1"/>
    <col min="770" max="770" width="11.85546875" style="151" customWidth="1"/>
    <col min="771" max="771" width="10" style="151" customWidth="1"/>
    <col min="772" max="772" width="11.140625" style="151" customWidth="1"/>
    <col min="773" max="773" width="10.28515625" style="151" bestFit="1" customWidth="1"/>
    <col min="774" max="774" width="10.140625" style="151" bestFit="1" customWidth="1"/>
    <col min="775" max="775" width="12" style="151" bestFit="1" customWidth="1"/>
    <col min="776" max="776" width="14.28515625" style="151" bestFit="1" customWidth="1"/>
    <col min="777" max="777" width="13.5703125" style="151" bestFit="1" customWidth="1"/>
    <col min="778" max="778" width="13.85546875" style="151" bestFit="1" customWidth="1"/>
    <col min="779" max="1021" width="9.140625" style="151"/>
    <col min="1022" max="1022" width="4.42578125" style="151" customWidth="1"/>
    <col min="1023" max="1023" width="46.85546875" style="151" customWidth="1"/>
    <col min="1024" max="1024" width="11.28515625" style="151" bestFit="1" customWidth="1"/>
    <col min="1025" max="1025" width="11.42578125" style="151" bestFit="1" customWidth="1"/>
    <col min="1026" max="1026" width="11.85546875" style="151" customWidth="1"/>
    <col min="1027" max="1027" width="10" style="151" customWidth="1"/>
    <col min="1028" max="1028" width="11.140625" style="151" customWidth="1"/>
    <col min="1029" max="1029" width="10.28515625" style="151" bestFit="1" customWidth="1"/>
    <col min="1030" max="1030" width="10.140625" style="151" bestFit="1" customWidth="1"/>
    <col min="1031" max="1031" width="12" style="151" bestFit="1" customWidth="1"/>
    <col min="1032" max="1032" width="14.28515625" style="151" bestFit="1" customWidth="1"/>
    <col min="1033" max="1033" width="13.5703125" style="151" bestFit="1" customWidth="1"/>
    <col min="1034" max="1034" width="13.85546875" style="151" bestFit="1" customWidth="1"/>
    <col min="1035" max="1277" width="9.140625" style="151"/>
    <col min="1278" max="1278" width="4.42578125" style="151" customWidth="1"/>
    <col min="1279" max="1279" width="46.85546875" style="151" customWidth="1"/>
    <col min="1280" max="1280" width="11.28515625" style="151" bestFit="1" customWidth="1"/>
    <col min="1281" max="1281" width="11.42578125" style="151" bestFit="1" customWidth="1"/>
    <col min="1282" max="1282" width="11.85546875" style="151" customWidth="1"/>
    <col min="1283" max="1283" width="10" style="151" customWidth="1"/>
    <col min="1284" max="1284" width="11.140625" style="151" customWidth="1"/>
    <col min="1285" max="1285" width="10.28515625" style="151" bestFit="1" customWidth="1"/>
    <col min="1286" max="1286" width="10.140625" style="151" bestFit="1" customWidth="1"/>
    <col min="1287" max="1287" width="12" style="151" bestFit="1" customWidth="1"/>
    <col min="1288" max="1288" width="14.28515625" style="151" bestFit="1" customWidth="1"/>
    <col min="1289" max="1289" width="13.5703125" style="151" bestFit="1" customWidth="1"/>
    <col min="1290" max="1290" width="13.85546875" style="151" bestFit="1" customWidth="1"/>
    <col min="1291" max="1533" width="9.140625" style="151"/>
    <col min="1534" max="1534" width="4.42578125" style="151" customWidth="1"/>
    <col min="1535" max="1535" width="46.85546875" style="151" customWidth="1"/>
    <col min="1536" max="1536" width="11.28515625" style="151" bestFit="1" customWidth="1"/>
    <col min="1537" max="1537" width="11.42578125" style="151" bestFit="1" customWidth="1"/>
    <col min="1538" max="1538" width="11.85546875" style="151" customWidth="1"/>
    <col min="1539" max="1539" width="10" style="151" customWidth="1"/>
    <col min="1540" max="1540" width="11.140625" style="151" customWidth="1"/>
    <col min="1541" max="1541" width="10.28515625" style="151" bestFit="1" customWidth="1"/>
    <col min="1542" max="1542" width="10.140625" style="151" bestFit="1" customWidth="1"/>
    <col min="1543" max="1543" width="12" style="151" bestFit="1" customWidth="1"/>
    <col min="1544" max="1544" width="14.28515625" style="151" bestFit="1" customWidth="1"/>
    <col min="1545" max="1545" width="13.5703125" style="151" bestFit="1" customWidth="1"/>
    <col min="1546" max="1546" width="13.85546875" style="151" bestFit="1" customWidth="1"/>
    <col min="1547" max="1789" width="9.140625" style="151"/>
    <col min="1790" max="1790" width="4.42578125" style="151" customWidth="1"/>
    <col min="1791" max="1791" width="46.85546875" style="151" customWidth="1"/>
    <col min="1792" max="1792" width="11.28515625" style="151" bestFit="1" customWidth="1"/>
    <col min="1793" max="1793" width="11.42578125" style="151" bestFit="1" customWidth="1"/>
    <col min="1794" max="1794" width="11.85546875" style="151" customWidth="1"/>
    <col min="1795" max="1795" width="10" style="151" customWidth="1"/>
    <col min="1796" max="1796" width="11.140625" style="151" customWidth="1"/>
    <col min="1797" max="1797" width="10.28515625" style="151" bestFit="1" customWidth="1"/>
    <col min="1798" max="1798" width="10.140625" style="151" bestFit="1" customWidth="1"/>
    <col min="1799" max="1799" width="12" style="151" bestFit="1" customWidth="1"/>
    <col min="1800" max="1800" width="14.28515625" style="151" bestFit="1" customWidth="1"/>
    <col min="1801" max="1801" width="13.5703125" style="151" bestFit="1" customWidth="1"/>
    <col min="1802" max="1802" width="13.85546875" style="151" bestFit="1" customWidth="1"/>
    <col min="1803" max="2045" width="9.140625" style="151"/>
    <col min="2046" max="2046" width="4.42578125" style="151" customWidth="1"/>
    <col min="2047" max="2047" width="46.85546875" style="151" customWidth="1"/>
    <col min="2048" max="2048" width="11.28515625" style="151" bestFit="1" customWidth="1"/>
    <col min="2049" max="2049" width="11.42578125" style="151" bestFit="1" customWidth="1"/>
    <col min="2050" max="2050" width="11.85546875" style="151" customWidth="1"/>
    <col min="2051" max="2051" width="10" style="151" customWidth="1"/>
    <col min="2052" max="2052" width="11.140625" style="151" customWidth="1"/>
    <col min="2053" max="2053" width="10.28515625" style="151" bestFit="1" customWidth="1"/>
    <col min="2054" max="2054" width="10.140625" style="151" bestFit="1" customWidth="1"/>
    <col min="2055" max="2055" width="12" style="151" bestFit="1" customWidth="1"/>
    <col min="2056" max="2056" width="14.28515625" style="151" bestFit="1" customWidth="1"/>
    <col min="2057" max="2057" width="13.5703125" style="151" bestFit="1" customWidth="1"/>
    <col min="2058" max="2058" width="13.85546875" style="151" bestFit="1" customWidth="1"/>
    <col min="2059" max="2301" width="9.140625" style="151"/>
    <col min="2302" max="2302" width="4.42578125" style="151" customWidth="1"/>
    <col min="2303" max="2303" width="46.85546875" style="151" customWidth="1"/>
    <col min="2304" max="2304" width="11.28515625" style="151" bestFit="1" customWidth="1"/>
    <col min="2305" max="2305" width="11.42578125" style="151" bestFit="1" customWidth="1"/>
    <col min="2306" max="2306" width="11.85546875" style="151" customWidth="1"/>
    <col min="2307" max="2307" width="10" style="151" customWidth="1"/>
    <col min="2308" max="2308" width="11.140625" style="151" customWidth="1"/>
    <col min="2309" max="2309" width="10.28515625" style="151" bestFit="1" customWidth="1"/>
    <col min="2310" max="2310" width="10.140625" style="151" bestFit="1" customWidth="1"/>
    <col min="2311" max="2311" width="12" style="151" bestFit="1" customWidth="1"/>
    <col min="2312" max="2312" width="14.28515625" style="151" bestFit="1" customWidth="1"/>
    <col min="2313" max="2313" width="13.5703125" style="151" bestFit="1" customWidth="1"/>
    <col min="2314" max="2314" width="13.85546875" style="151" bestFit="1" customWidth="1"/>
    <col min="2315" max="2557" width="9.140625" style="151"/>
    <col min="2558" max="2558" width="4.42578125" style="151" customWidth="1"/>
    <col min="2559" max="2559" width="46.85546875" style="151" customWidth="1"/>
    <col min="2560" max="2560" width="11.28515625" style="151" bestFit="1" customWidth="1"/>
    <col min="2561" max="2561" width="11.42578125" style="151" bestFit="1" customWidth="1"/>
    <col min="2562" max="2562" width="11.85546875" style="151" customWidth="1"/>
    <col min="2563" max="2563" width="10" style="151" customWidth="1"/>
    <col min="2564" max="2564" width="11.140625" style="151" customWidth="1"/>
    <col min="2565" max="2565" width="10.28515625" style="151" bestFit="1" customWidth="1"/>
    <col min="2566" max="2566" width="10.140625" style="151" bestFit="1" customWidth="1"/>
    <col min="2567" max="2567" width="12" style="151" bestFit="1" customWidth="1"/>
    <col min="2568" max="2568" width="14.28515625" style="151" bestFit="1" customWidth="1"/>
    <col min="2569" max="2569" width="13.5703125" style="151" bestFit="1" customWidth="1"/>
    <col min="2570" max="2570" width="13.85546875" style="151" bestFit="1" customWidth="1"/>
    <col min="2571" max="2813" width="9.140625" style="151"/>
    <col min="2814" max="2814" width="4.42578125" style="151" customWidth="1"/>
    <col min="2815" max="2815" width="46.85546875" style="151" customWidth="1"/>
    <col min="2816" max="2816" width="11.28515625" style="151" bestFit="1" customWidth="1"/>
    <col min="2817" max="2817" width="11.42578125" style="151" bestFit="1" customWidth="1"/>
    <col min="2818" max="2818" width="11.85546875" style="151" customWidth="1"/>
    <col min="2819" max="2819" width="10" style="151" customWidth="1"/>
    <col min="2820" max="2820" width="11.140625" style="151" customWidth="1"/>
    <col min="2821" max="2821" width="10.28515625" style="151" bestFit="1" customWidth="1"/>
    <col min="2822" max="2822" width="10.140625" style="151" bestFit="1" customWidth="1"/>
    <col min="2823" max="2823" width="12" style="151" bestFit="1" customWidth="1"/>
    <col min="2824" max="2824" width="14.28515625" style="151" bestFit="1" customWidth="1"/>
    <col min="2825" max="2825" width="13.5703125" style="151" bestFit="1" customWidth="1"/>
    <col min="2826" max="2826" width="13.85546875" style="151" bestFit="1" customWidth="1"/>
    <col min="2827" max="3069" width="9.140625" style="151"/>
    <col min="3070" max="3070" width="4.42578125" style="151" customWidth="1"/>
    <col min="3071" max="3071" width="46.85546875" style="151" customWidth="1"/>
    <col min="3072" max="3072" width="11.28515625" style="151" bestFit="1" customWidth="1"/>
    <col min="3073" max="3073" width="11.42578125" style="151" bestFit="1" customWidth="1"/>
    <col min="3074" max="3074" width="11.85546875" style="151" customWidth="1"/>
    <col min="3075" max="3075" width="10" style="151" customWidth="1"/>
    <col min="3076" max="3076" width="11.140625" style="151" customWidth="1"/>
    <col min="3077" max="3077" width="10.28515625" style="151" bestFit="1" customWidth="1"/>
    <col min="3078" max="3078" width="10.140625" style="151" bestFit="1" customWidth="1"/>
    <col min="3079" max="3079" width="12" style="151" bestFit="1" customWidth="1"/>
    <col min="3080" max="3080" width="14.28515625" style="151" bestFit="1" customWidth="1"/>
    <col min="3081" max="3081" width="13.5703125" style="151" bestFit="1" customWidth="1"/>
    <col min="3082" max="3082" width="13.85546875" style="151" bestFit="1" customWidth="1"/>
    <col min="3083" max="3325" width="9.140625" style="151"/>
    <col min="3326" max="3326" width="4.42578125" style="151" customWidth="1"/>
    <col min="3327" max="3327" width="46.85546875" style="151" customWidth="1"/>
    <col min="3328" max="3328" width="11.28515625" style="151" bestFit="1" customWidth="1"/>
    <col min="3329" max="3329" width="11.42578125" style="151" bestFit="1" customWidth="1"/>
    <col min="3330" max="3330" width="11.85546875" style="151" customWidth="1"/>
    <col min="3331" max="3331" width="10" style="151" customWidth="1"/>
    <col min="3332" max="3332" width="11.140625" style="151" customWidth="1"/>
    <col min="3333" max="3333" width="10.28515625" style="151" bestFit="1" customWidth="1"/>
    <col min="3334" max="3334" width="10.140625" style="151" bestFit="1" customWidth="1"/>
    <col min="3335" max="3335" width="12" style="151" bestFit="1" customWidth="1"/>
    <col min="3336" max="3336" width="14.28515625" style="151" bestFit="1" customWidth="1"/>
    <col min="3337" max="3337" width="13.5703125" style="151" bestFit="1" customWidth="1"/>
    <col min="3338" max="3338" width="13.85546875" style="151" bestFit="1" customWidth="1"/>
    <col min="3339" max="3581" width="9.140625" style="151"/>
    <col min="3582" max="3582" width="4.42578125" style="151" customWidth="1"/>
    <col min="3583" max="3583" width="46.85546875" style="151" customWidth="1"/>
    <col min="3584" max="3584" width="11.28515625" style="151" bestFit="1" customWidth="1"/>
    <col min="3585" max="3585" width="11.42578125" style="151" bestFit="1" customWidth="1"/>
    <col min="3586" max="3586" width="11.85546875" style="151" customWidth="1"/>
    <col min="3587" max="3587" width="10" style="151" customWidth="1"/>
    <col min="3588" max="3588" width="11.140625" style="151" customWidth="1"/>
    <col min="3589" max="3589" width="10.28515625" style="151" bestFit="1" customWidth="1"/>
    <col min="3590" max="3590" width="10.140625" style="151" bestFit="1" customWidth="1"/>
    <col min="3591" max="3591" width="12" style="151" bestFit="1" customWidth="1"/>
    <col min="3592" max="3592" width="14.28515625" style="151" bestFit="1" customWidth="1"/>
    <col min="3593" max="3593" width="13.5703125" style="151" bestFit="1" customWidth="1"/>
    <col min="3594" max="3594" width="13.85546875" style="151" bestFit="1" customWidth="1"/>
    <col min="3595" max="3837" width="9.140625" style="151"/>
    <col min="3838" max="3838" width="4.42578125" style="151" customWidth="1"/>
    <col min="3839" max="3839" width="46.85546875" style="151" customWidth="1"/>
    <col min="3840" max="3840" width="11.28515625" style="151" bestFit="1" customWidth="1"/>
    <col min="3841" max="3841" width="11.42578125" style="151" bestFit="1" customWidth="1"/>
    <col min="3842" max="3842" width="11.85546875" style="151" customWidth="1"/>
    <col min="3843" max="3843" width="10" style="151" customWidth="1"/>
    <col min="3844" max="3844" width="11.140625" style="151" customWidth="1"/>
    <col min="3845" max="3845" width="10.28515625" style="151" bestFit="1" customWidth="1"/>
    <col min="3846" max="3846" width="10.140625" style="151" bestFit="1" customWidth="1"/>
    <col min="3847" max="3847" width="12" style="151" bestFit="1" customWidth="1"/>
    <col min="3848" max="3848" width="14.28515625" style="151" bestFit="1" customWidth="1"/>
    <col min="3849" max="3849" width="13.5703125" style="151" bestFit="1" customWidth="1"/>
    <col min="3850" max="3850" width="13.85546875" style="151" bestFit="1" customWidth="1"/>
    <col min="3851" max="4093" width="9.140625" style="151"/>
    <col min="4094" max="4094" width="4.42578125" style="151" customWidth="1"/>
    <col min="4095" max="4095" width="46.85546875" style="151" customWidth="1"/>
    <col min="4096" max="4096" width="11.28515625" style="151" bestFit="1" customWidth="1"/>
    <col min="4097" max="4097" width="11.42578125" style="151" bestFit="1" customWidth="1"/>
    <col min="4098" max="4098" width="11.85546875" style="151" customWidth="1"/>
    <col min="4099" max="4099" width="10" style="151" customWidth="1"/>
    <col min="4100" max="4100" width="11.140625" style="151" customWidth="1"/>
    <col min="4101" max="4101" width="10.28515625" style="151" bestFit="1" customWidth="1"/>
    <col min="4102" max="4102" width="10.140625" style="151" bestFit="1" customWidth="1"/>
    <col min="4103" max="4103" width="12" style="151" bestFit="1" customWidth="1"/>
    <col min="4104" max="4104" width="14.28515625" style="151" bestFit="1" customWidth="1"/>
    <col min="4105" max="4105" width="13.5703125" style="151" bestFit="1" customWidth="1"/>
    <col min="4106" max="4106" width="13.85546875" style="151" bestFit="1" customWidth="1"/>
    <col min="4107" max="4349" width="9.140625" style="151"/>
    <col min="4350" max="4350" width="4.42578125" style="151" customWidth="1"/>
    <col min="4351" max="4351" width="46.85546875" style="151" customWidth="1"/>
    <col min="4352" max="4352" width="11.28515625" style="151" bestFit="1" customWidth="1"/>
    <col min="4353" max="4353" width="11.42578125" style="151" bestFit="1" customWidth="1"/>
    <col min="4354" max="4354" width="11.85546875" style="151" customWidth="1"/>
    <col min="4355" max="4355" width="10" style="151" customWidth="1"/>
    <col min="4356" max="4356" width="11.140625" style="151" customWidth="1"/>
    <col min="4357" max="4357" width="10.28515625" style="151" bestFit="1" customWidth="1"/>
    <col min="4358" max="4358" width="10.140625" style="151" bestFit="1" customWidth="1"/>
    <col min="4359" max="4359" width="12" style="151" bestFit="1" customWidth="1"/>
    <col min="4360" max="4360" width="14.28515625" style="151" bestFit="1" customWidth="1"/>
    <col min="4361" max="4361" width="13.5703125" style="151" bestFit="1" customWidth="1"/>
    <col min="4362" max="4362" width="13.85546875" style="151" bestFit="1" customWidth="1"/>
    <col min="4363" max="4605" width="9.140625" style="151"/>
    <col min="4606" max="4606" width="4.42578125" style="151" customWidth="1"/>
    <col min="4607" max="4607" width="46.85546875" style="151" customWidth="1"/>
    <col min="4608" max="4608" width="11.28515625" style="151" bestFit="1" customWidth="1"/>
    <col min="4609" max="4609" width="11.42578125" style="151" bestFit="1" customWidth="1"/>
    <col min="4610" max="4610" width="11.85546875" style="151" customWidth="1"/>
    <col min="4611" max="4611" width="10" style="151" customWidth="1"/>
    <col min="4612" max="4612" width="11.140625" style="151" customWidth="1"/>
    <col min="4613" max="4613" width="10.28515625" style="151" bestFit="1" customWidth="1"/>
    <col min="4614" max="4614" width="10.140625" style="151" bestFit="1" customWidth="1"/>
    <col min="4615" max="4615" width="12" style="151" bestFit="1" customWidth="1"/>
    <col min="4616" max="4616" width="14.28515625" style="151" bestFit="1" customWidth="1"/>
    <col min="4617" max="4617" width="13.5703125" style="151" bestFit="1" customWidth="1"/>
    <col min="4618" max="4618" width="13.85546875" style="151" bestFit="1" customWidth="1"/>
    <col min="4619" max="4861" width="9.140625" style="151"/>
    <col min="4862" max="4862" width="4.42578125" style="151" customWidth="1"/>
    <col min="4863" max="4863" width="46.85546875" style="151" customWidth="1"/>
    <col min="4864" max="4864" width="11.28515625" style="151" bestFit="1" customWidth="1"/>
    <col min="4865" max="4865" width="11.42578125" style="151" bestFit="1" customWidth="1"/>
    <col min="4866" max="4866" width="11.85546875" style="151" customWidth="1"/>
    <col min="4867" max="4867" width="10" style="151" customWidth="1"/>
    <col min="4868" max="4868" width="11.140625" style="151" customWidth="1"/>
    <col min="4869" max="4869" width="10.28515625" style="151" bestFit="1" customWidth="1"/>
    <col min="4870" max="4870" width="10.140625" style="151" bestFit="1" customWidth="1"/>
    <col min="4871" max="4871" width="12" style="151" bestFit="1" customWidth="1"/>
    <col min="4872" max="4872" width="14.28515625" style="151" bestFit="1" customWidth="1"/>
    <col min="4873" max="4873" width="13.5703125" style="151" bestFit="1" customWidth="1"/>
    <col min="4874" max="4874" width="13.85546875" style="151" bestFit="1" customWidth="1"/>
    <col min="4875" max="5117" width="9.140625" style="151"/>
    <col min="5118" max="5118" width="4.42578125" style="151" customWidth="1"/>
    <col min="5119" max="5119" width="46.85546875" style="151" customWidth="1"/>
    <col min="5120" max="5120" width="11.28515625" style="151" bestFit="1" customWidth="1"/>
    <col min="5121" max="5121" width="11.42578125" style="151" bestFit="1" customWidth="1"/>
    <col min="5122" max="5122" width="11.85546875" style="151" customWidth="1"/>
    <col min="5123" max="5123" width="10" style="151" customWidth="1"/>
    <col min="5124" max="5124" width="11.140625" style="151" customWidth="1"/>
    <col min="5125" max="5125" width="10.28515625" style="151" bestFit="1" customWidth="1"/>
    <col min="5126" max="5126" width="10.140625" style="151" bestFit="1" customWidth="1"/>
    <col min="5127" max="5127" width="12" style="151" bestFit="1" customWidth="1"/>
    <col min="5128" max="5128" width="14.28515625" style="151" bestFit="1" customWidth="1"/>
    <col min="5129" max="5129" width="13.5703125" style="151" bestFit="1" customWidth="1"/>
    <col min="5130" max="5130" width="13.85546875" style="151" bestFit="1" customWidth="1"/>
    <col min="5131" max="5373" width="9.140625" style="151"/>
    <col min="5374" max="5374" width="4.42578125" style="151" customWidth="1"/>
    <col min="5375" max="5375" width="46.85546875" style="151" customWidth="1"/>
    <col min="5376" max="5376" width="11.28515625" style="151" bestFit="1" customWidth="1"/>
    <col min="5377" max="5377" width="11.42578125" style="151" bestFit="1" customWidth="1"/>
    <col min="5378" max="5378" width="11.85546875" style="151" customWidth="1"/>
    <col min="5379" max="5379" width="10" style="151" customWidth="1"/>
    <col min="5380" max="5380" width="11.140625" style="151" customWidth="1"/>
    <col min="5381" max="5381" width="10.28515625" style="151" bestFit="1" customWidth="1"/>
    <col min="5382" max="5382" width="10.140625" style="151" bestFit="1" customWidth="1"/>
    <col min="5383" max="5383" width="12" style="151" bestFit="1" customWidth="1"/>
    <col min="5384" max="5384" width="14.28515625" style="151" bestFit="1" customWidth="1"/>
    <col min="5385" max="5385" width="13.5703125" style="151" bestFit="1" customWidth="1"/>
    <col min="5386" max="5386" width="13.85546875" style="151" bestFit="1" customWidth="1"/>
    <col min="5387" max="5629" width="9.140625" style="151"/>
    <col min="5630" max="5630" width="4.42578125" style="151" customWidth="1"/>
    <col min="5631" max="5631" width="46.85546875" style="151" customWidth="1"/>
    <col min="5632" max="5632" width="11.28515625" style="151" bestFit="1" customWidth="1"/>
    <col min="5633" max="5633" width="11.42578125" style="151" bestFit="1" customWidth="1"/>
    <col min="5634" max="5634" width="11.85546875" style="151" customWidth="1"/>
    <col min="5635" max="5635" width="10" style="151" customWidth="1"/>
    <col min="5636" max="5636" width="11.140625" style="151" customWidth="1"/>
    <col min="5637" max="5637" width="10.28515625" style="151" bestFit="1" customWidth="1"/>
    <col min="5638" max="5638" width="10.140625" style="151" bestFit="1" customWidth="1"/>
    <col min="5639" max="5639" width="12" style="151" bestFit="1" customWidth="1"/>
    <col min="5640" max="5640" width="14.28515625" style="151" bestFit="1" customWidth="1"/>
    <col min="5641" max="5641" width="13.5703125" style="151" bestFit="1" customWidth="1"/>
    <col min="5642" max="5642" width="13.85546875" style="151" bestFit="1" customWidth="1"/>
    <col min="5643" max="5885" width="9.140625" style="151"/>
    <col min="5886" max="5886" width="4.42578125" style="151" customWidth="1"/>
    <col min="5887" max="5887" width="46.85546875" style="151" customWidth="1"/>
    <col min="5888" max="5888" width="11.28515625" style="151" bestFit="1" customWidth="1"/>
    <col min="5889" max="5889" width="11.42578125" style="151" bestFit="1" customWidth="1"/>
    <col min="5890" max="5890" width="11.85546875" style="151" customWidth="1"/>
    <col min="5891" max="5891" width="10" style="151" customWidth="1"/>
    <col min="5892" max="5892" width="11.140625" style="151" customWidth="1"/>
    <col min="5893" max="5893" width="10.28515625" style="151" bestFit="1" customWidth="1"/>
    <col min="5894" max="5894" width="10.140625" style="151" bestFit="1" customWidth="1"/>
    <col min="5895" max="5895" width="12" style="151" bestFit="1" customWidth="1"/>
    <col min="5896" max="5896" width="14.28515625" style="151" bestFit="1" customWidth="1"/>
    <col min="5897" max="5897" width="13.5703125" style="151" bestFit="1" customWidth="1"/>
    <col min="5898" max="5898" width="13.85546875" style="151" bestFit="1" customWidth="1"/>
    <col min="5899" max="6141" width="9.140625" style="151"/>
    <col min="6142" max="6142" width="4.42578125" style="151" customWidth="1"/>
    <col min="6143" max="6143" width="46.85546875" style="151" customWidth="1"/>
    <col min="6144" max="6144" width="11.28515625" style="151" bestFit="1" customWidth="1"/>
    <col min="6145" max="6145" width="11.42578125" style="151" bestFit="1" customWidth="1"/>
    <col min="6146" max="6146" width="11.85546875" style="151" customWidth="1"/>
    <col min="6147" max="6147" width="10" style="151" customWidth="1"/>
    <col min="6148" max="6148" width="11.140625" style="151" customWidth="1"/>
    <col min="6149" max="6149" width="10.28515625" style="151" bestFit="1" customWidth="1"/>
    <col min="6150" max="6150" width="10.140625" style="151" bestFit="1" customWidth="1"/>
    <col min="6151" max="6151" width="12" style="151" bestFit="1" customWidth="1"/>
    <col min="6152" max="6152" width="14.28515625" style="151" bestFit="1" customWidth="1"/>
    <col min="6153" max="6153" width="13.5703125" style="151" bestFit="1" customWidth="1"/>
    <col min="6154" max="6154" width="13.85546875" style="151" bestFit="1" customWidth="1"/>
    <col min="6155" max="6397" width="9.140625" style="151"/>
    <col min="6398" max="6398" width="4.42578125" style="151" customWidth="1"/>
    <col min="6399" max="6399" width="46.85546875" style="151" customWidth="1"/>
    <col min="6400" max="6400" width="11.28515625" style="151" bestFit="1" customWidth="1"/>
    <col min="6401" max="6401" width="11.42578125" style="151" bestFit="1" customWidth="1"/>
    <col min="6402" max="6402" width="11.85546875" style="151" customWidth="1"/>
    <col min="6403" max="6403" width="10" style="151" customWidth="1"/>
    <col min="6404" max="6404" width="11.140625" style="151" customWidth="1"/>
    <col min="6405" max="6405" width="10.28515625" style="151" bestFit="1" customWidth="1"/>
    <col min="6406" max="6406" width="10.140625" style="151" bestFit="1" customWidth="1"/>
    <col min="6407" max="6407" width="12" style="151" bestFit="1" customWidth="1"/>
    <col min="6408" max="6408" width="14.28515625" style="151" bestFit="1" customWidth="1"/>
    <col min="6409" max="6409" width="13.5703125" style="151" bestFit="1" customWidth="1"/>
    <col min="6410" max="6410" width="13.85546875" style="151" bestFit="1" customWidth="1"/>
    <col min="6411" max="6653" width="9.140625" style="151"/>
    <col min="6654" max="6654" width="4.42578125" style="151" customWidth="1"/>
    <col min="6655" max="6655" width="46.85546875" style="151" customWidth="1"/>
    <col min="6656" max="6656" width="11.28515625" style="151" bestFit="1" customWidth="1"/>
    <col min="6657" max="6657" width="11.42578125" style="151" bestFit="1" customWidth="1"/>
    <col min="6658" max="6658" width="11.85546875" style="151" customWidth="1"/>
    <col min="6659" max="6659" width="10" style="151" customWidth="1"/>
    <col min="6660" max="6660" width="11.140625" style="151" customWidth="1"/>
    <col min="6661" max="6661" width="10.28515625" style="151" bestFit="1" customWidth="1"/>
    <col min="6662" max="6662" width="10.140625" style="151" bestFit="1" customWidth="1"/>
    <col min="6663" max="6663" width="12" style="151" bestFit="1" customWidth="1"/>
    <col min="6664" max="6664" width="14.28515625" style="151" bestFit="1" customWidth="1"/>
    <col min="6665" max="6665" width="13.5703125" style="151" bestFit="1" customWidth="1"/>
    <col min="6666" max="6666" width="13.85546875" style="151" bestFit="1" customWidth="1"/>
    <col min="6667" max="6909" width="9.140625" style="151"/>
    <col min="6910" max="6910" width="4.42578125" style="151" customWidth="1"/>
    <col min="6911" max="6911" width="46.85546875" style="151" customWidth="1"/>
    <col min="6912" max="6912" width="11.28515625" style="151" bestFit="1" customWidth="1"/>
    <col min="6913" max="6913" width="11.42578125" style="151" bestFit="1" customWidth="1"/>
    <col min="6914" max="6914" width="11.85546875" style="151" customWidth="1"/>
    <col min="6915" max="6915" width="10" style="151" customWidth="1"/>
    <col min="6916" max="6916" width="11.140625" style="151" customWidth="1"/>
    <col min="6917" max="6917" width="10.28515625" style="151" bestFit="1" customWidth="1"/>
    <col min="6918" max="6918" width="10.140625" style="151" bestFit="1" customWidth="1"/>
    <col min="6919" max="6919" width="12" style="151" bestFit="1" customWidth="1"/>
    <col min="6920" max="6920" width="14.28515625" style="151" bestFit="1" customWidth="1"/>
    <col min="6921" max="6921" width="13.5703125" style="151" bestFit="1" customWidth="1"/>
    <col min="6922" max="6922" width="13.85546875" style="151" bestFit="1" customWidth="1"/>
    <col min="6923" max="7165" width="9.140625" style="151"/>
    <col min="7166" max="7166" width="4.42578125" style="151" customWidth="1"/>
    <col min="7167" max="7167" width="46.85546875" style="151" customWidth="1"/>
    <col min="7168" max="7168" width="11.28515625" style="151" bestFit="1" customWidth="1"/>
    <col min="7169" max="7169" width="11.42578125" style="151" bestFit="1" customWidth="1"/>
    <col min="7170" max="7170" width="11.85546875" style="151" customWidth="1"/>
    <col min="7171" max="7171" width="10" style="151" customWidth="1"/>
    <col min="7172" max="7172" width="11.140625" style="151" customWidth="1"/>
    <col min="7173" max="7173" width="10.28515625" style="151" bestFit="1" customWidth="1"/>
    <col min="7174" max="7174" width="10.140625" style="151" bestFit="1" customWidth="1"/>
    <col min="7175" max="7175" width="12" style="151" bestFit="1" customWidth="1"/>
    <col min="7176" max="7176" width="14.28515625" style="151" bestFit="1" customWidth="1"/>
    <col min="7177" max="7177" width="13.5703125" style="151" bestFit="1" customWidth="1"/>
    <col min="7178" max="7178" width="13.85546875" style="151" bestFit="1" customWidth="1"/>
    <col min="7179" max="7421" width="9.140625" style="151"/>
    <col min="7422" max="7422" width="4.42578125" style="151" customWidth="1"/>
    <col min="7423" max="7423" width="46.85546875" style="151" customWidth="1"/>
    <col min="7424" max="7424" width="11.28515625" style="151" bestFit="1" customWidth="1"/>
    <col min="7425" max="7425" width="11.42578125" style="151" bestFit="1" customWidth="1"/>
    <col min="7426" max="7426" width="11.85546875" style="151" customWidth="1"/>
    <col min="7427" max="7427" width="10" style="151" customWidth="1"/>
    <col min="7428" max="7428" width="11.140625" style="151" customWidth="1"/>
    <col min="7429" max="7429" width="10.28515625" style="151" bestFit="1" customWidth="1"/>
    <col min="7430" max="7430" width="10.140625" style="151" bestFit="1" customWidth="1"/>
    <col min="7431" max="7431" width="12" style="151" bestFit="1" customWidth="1"/>
    <col min="7432" max="7432" width="14.28515625" style="151" bestFit="1" customWidth="1"/>
    <col min="7433" max="7433" width="13.5703125" style="151" bestFit="1" customWidth="1"/>
    <col min="7434" max="7434" width="13.85546875" style="151" bestFit="1" customWidth="1"/>
    <col min="7435" max="7677" width="9.140625" style="151"/>
    <col min="7678" max="7678" width="4.42578125" style="151" customWidth="1"/>
    <col min="7679" max="7679" width="46.85546875" style="151" customWidth="1"/>
    <col min="7680" max="7680" width="11.28515625" style="151" bestFit="1" customWidth="1"/>
    <col min="7681" max="7681" width="11.42578125" style="151" bestFit="1" customWidth="1"/>
    <col min="7682" max="7682" width="11.85546875" style="151" customWidth="1"/>
    <col min="7683" max="7683" width="10" style="151" customWidth="1"/>
    <col min="7684" max="7684" width="11.140625" style="151" customWidth="1"/>
    <col min="7685" max="7685" width="10.28515625" style="151" bestFit="1" customWidth="1"/>
    <col min="7686" max="7686" width="10.140625" style="151" bestFit="1" customWidth="1"/>
    <col min="7687" max="7687" width="12" style="151" bestFit="1" customWidth="1"/>
    <col min="7688" max="7688" width="14.28515625" style="151" bestFit="1" customWidth="1"/>
    <col min="7689" max="7689" width="13.5703125" style="151" bestFit="1" customWidth="1"/>
    <col min="7690" max="7690" width="13.85546875" style="151" bestFit="1" customWidth="1"/>
    <col min="7691" max="7933" width="9.140625" style="151"/>
    <col min="7934" max="7934" width="4.42578125" style="151" customWidth="1"/>
    <col min="7935" max="7935" width="46.85546875" style="151" customWidth="1"/>
    <col min="7936" max="7936" width="11.28515625" style="151" bestFit="1" customWidth="1"/>
    <col min="7937" max="7937" width="11.42578125" style="151" bestFit="1" customWidth="1"/>
    <col min="7938" max="7938" width="11.85546875" style="151" customWidth="1"/>
    <col min="7939" max="7939" width="10" style="151" customWidth="1"/>
    <col min="7940" max="7940" width="11.140625" style="151" customWidth="1"/>
    <col min="7941" max="7941" width="10.28515625" style="151" bestFit="1" customWidth="1"/>
    <col min="7942" max="7942" width="10.140625" style="151" bestFit="1" customWidth="1"/>
    <col min="7943" max="7943" width="12" style="151" bestFit="1" customWidth="1"/>
    <col min="7944" max="7944" width="14.28515625" style="151" bestFit="1" customWidth="1"/>
    <col min="7945" max="7945" width="13.5703125" style="151" bestFit="1" customWidth="1"/>
    <col min="7946" max="7946" width="13.85546875" style="151" bestFit="1" customWidth="1"/>
    <col min="7947" max="8189" width="9.140625" style="151"/>
    <col min="8190" max="8190" width="4.42578125" style="151" customWidth="1"/>
    <col min="8191" max="8191" width="46.85546875" style="151" customWidth="1"/>
    <col min="8192" max="8192" width="11.28515625" style="151" bestFit="1" customWidth="1"/>
    <col min="8193" max="8193" width="11.42578125" style="151" bestFit="1" customWidth="1"/>
    <col min="8194" max="8194" width="11.85546875" style="151" customWidth="1"/>
    <col min="8195" max="8195" width="10" style="151" customWidth="1"/>
    <col min="8196" max="8196" width="11.140625" style="151" customWidth="1"/>
    <col min="8197" max="8197" width="10.28515625" style="151" bestFit="1" customWidth="1"/>
    <col min="8198" max="8198" width="10.140625" style="151" bestFit="1" customWidth="1"/>
    <col min="8199" max="8199" width="12" style="151" bestFit="1" customWidth="1"/>
    <col min="8200" max="8200" width="14.28515625" style="151" bestFit="1" customWidth="1"/>
    <col min="8201" max="8201" width="13.5703125" style="151" bestFit="1" customWidth="1"/>
    <col min="8202" max="8202" width="13.85546875" style="151" bestFit="1" customWidth="1"/>
    <col min="8203" max="8445" width="9.140625" style="151"/>
    <col min="8446" max="8446" width="4.42578125" style="151" customWidth="1"/>
    <col min="8447" max="8447" width="46.85546875" style="151" customWidth="1"/>
    <col min="8448" max="8448" width="11.28515625" style="151" bestFit="1" customWidth="1"/>
    <col min="8449" max="8449" width="11.42578125" style="151" bestFit="1" customWidth="1"/>
    <col min="8450" max="8450" width="11.85546875" style="151" customWidth="1"/>
    <col min="8451" max="8451" width="10" style="151" customWidth="1"/>
    <col min="8452" max="8452" width="11.140625" style="151" customWidth="1"/>
    <col min="8453" max="8453" width="10.28515625" style="151" bestFit="1" customWidth="1"/>
    <col min="8454" max="8454" width="10.140625" style="151" bestFit="1" customWidth="1"/>
    <col min="8455" max="8455" width="12" style="151" bestFit="1" customWidth="1"/>
    <col min="8456" max="8456" width="14.28515625" style="151" bestFit="1" customWidth="1"/>
    <col min="8457" max="8457" width="13.5703125" style="151" bestFit="1" customWidth="1"/>
    <col min="8458" max="8458" width="13.85546875" style="151" bestFit="1" customWidth="1"/>
    <col min="8459" max="8701" width="9.140625" style="151"/>
    <col min="8702" max="8702" width="4.42578125" style="151" customWidth="1"/>
    <col min="8703" max="8703" width="46.85546875" style="151" customWidth="1"/>
    <col min="8704" max="8704" width="11.28515625" style="151" bestFit="1" customWidth="1"/>
    <col min="8705" max="8705" width="11.42578125" style="151" bestFit="1" customWidth="1"/>
    <col min="8706" max="8706" width="11.85546875" style="151" customWidth="1"/>
    <col min="8707" max="8707" width="10" style="151" customWidth="1"/>
    <col min="8708" max="8708" width="11.140625" style="151" customWidth="1"/>
    <col min="8709" max="8709" width="10.28515625" style="151" bestFit="1" customWidth="1"/>
    <col min="8710" max="8710" width="10.140625" style="151" bestFit="1" customWidth="1"/>
    <col min="8711" max="8711" width="12" style="151" bestFit="1" customWidth="1"/>
    <col min="8712" max="8712" width="14.28515625" style="151" bestFit="1" customWidth="1"/>
    <col min="8713" max="8713" width="13.5703125" style="151" bestFit="1" customWidth="1"/>
    <col min="8714" max="8714" width="13.85546875" style="151" bestFit="1" customWidth="1"/>
    <col min="8715" max="8957" width="9.140625" style="151"/>
    <col min="8958" max="8958" width="4.42578125" style="151" customWidth="1"/>
    <col min="8959" max="8959" width="46.85546875" style="151" customWidth="1"/>
    <col min="8960" max="8960" width="11.28515625" style="151" bestFit="1" customWidth="1"/>
    <col min="8961" max="8961" width="11.42578125" style="151" bestFit="1" customWidth="1"/>
    <col min="8962" max="8962" width="11.85546875" style="151" customWidth="1"/>
    <col min="8963" max="8963" width="10" style="151" customWidth="1"/>
    <col min="8964" max="8964" width="11.140625" style="151" customWidth="1"/>
    <col min="8965" max="8965" width="10.28515625" style="151" bestFit="1" customWidth="1"/>
    <col min="8966" max="8966" width="10.140625" style="151" bestFit="1" customWidth="1"/>
    <col min="8967" max="8967" width="12" style="151" bestFit="1" customWidth="1"/>
    <col min="8968" max="8968" width="14.28515625" style="151" bestFit="1" customWidth="1"/>
    <col min="8969" max="8969" width="13.5703125" style="151" bestFit="1" customWidth="1"/>
    <col min="8970" max="8970" width="13.85546875" style="151" bestFit="1" customWidth="1"/>
    <col min="8971" max="9213" width="9.140625" style="151"/>
    <col min="9214" max="9214" width="4.42578125" style="151" customWidth="1"/>
    <col min="9215" max="9215" width="46.85546875" style="151" customWidth="1"/>
    <col min="9216" max="9216" width="11.28515625" style="151" bestFit="1" customWidth="1"/>
    <col min="9217" max="9217" width="11.42578125" style="151" bestFit="1" customWidth="1"/>
    <col min="9218" max="9218" width="11.85546875" style="151" customWidth="1"/>
    <col min="9219" max="9219" width="10" style="151" customWidth="1"/>
    <col min="9220" max="9220" width="11.140625" style="151" customWidth="1"/>
    <col min="9221" max="9221" width="10.28515625" style="151" bestFit="1" customWidth="1"/>
    <col min="9222" max="9222" width="10.140625" style="151" bestFit="1" customWidth="1"/>
    <col min="9223" max="9223" width="12" style="151" bestFit="1" customWidth="1"/>
    <col min="9224" max="9224" width="14.28515625" style="151" bestFit="1" customWidth="1"/>
    <col min="9225" max="9225" width="13.5703125" style="151" bestFit="1" customWidth="1"/>
    <col min="9226" max="9226" width="13.85546875" style="151" bestFit="1" customWidth="1"/>
    <col min="9227" max="9469" width="9.140625" style="151"/>
    <col min="9470" max="9470" width="4.42578125" style="151" customWidth="1"/>
    <col min="9471" max="9471" width="46.85546875" style="151" customWidth="1"/>
    <col min="9472" max="9472" width="11.28515625" style="151" bestFit="1" customWidth="1"/>
    <col min="9473" max="9473" width="11.42578125" style="151" bestFit="1" customWidth="1"/>
    <col min="9474" max="9474" width="11.85546875" style="151" customWidth="1"/>
    <col min="9475" max="9475" width="10" style="151" customWidth="1"/>
    <col min="9476" max="9476" width="11.140625" style="151" customWidth="1"/>
    <col min="9477" max="9477" width="10.28515625" style="151" bestFit="1" customWidth="1"/>
    <col min="9478" max="9478" width="10.140625" style="151" bestFit="1" customWidth="1"/>
    <col min="9479" max="9479" width="12" style="151" bestFit="1" customWidth="1"/>
    <col min="9480" max="9480" width="14.28515625" style="151" bestFit="1" customWidth="1"/>
    <col min="9481" max="9481" width="13.5703125" style="151" bestFit="1" customWidth="1"/>
    <col min="9482" max="9482" width="13.85546875" style="151" bestFit="1" customWidth="1"/>
    <col min="9483" max="9725" width="9.140625" style="151"/>
    <col min="9726" max="9726" width="4.42578125" style="151" customWidth="1"/>
    <col min="9727" max="9727" width="46.85546875" style="151" customWidth="1"/>
    <col min="9728" max="9728" width="11.28515625" style="151" bestFit="1" customWidth="1"/>
    <col min="9729" max="9729" width="11.42578125" style="151" bestFit="1" customWidth="1"/>
    <col min="9730" max="9730" width="11.85546875" style="151" customWidth="1"/>
    <col min="9731" max="9731" width="10" style="151" customWidth="1"/>
    <col min="9732" max="9732" width="11.140625" style="151" customWidth="1"/>
    <col min="9733" max="9733" width="10.28515625" style="151" bestFit="1" customWidth="1"/>
    <col min="9734" max="9734" width="10.140625" style="151" bestFit="1" customWidth="1"/>
    <col min="9735" max="9735" width="12" style="151" bestFit="1" customWidth="1"/>
    <col min="9736" max="9736" width="14.28515625" style="151" bestFit="1" customWidth="1"/>
    <col min="9737" max="9737" width="13.5703125" style="151" bestFit="1" customWidth="1"/>
    <col min="9738" max="9738" width="13.85546875" style="151" bestFit="1" customWidth="1"/>
    <col min="9739" max="9981" width="9.140625" style="151"/>
    <col min="9982" max="9982" width="4.42578125" style="151" customWidth="1"/>
    <col min="9983" max="9983" width="46.85546875" style="151" customWidth="1"/>
    <col min="9984" max="9984" width="11.28515625" style="151" bestFit="1" customWidth="1"/>
    <col min="9985" max="9985" width="11.42578125" style="151" bestFit="1" customWidth="1"/>
    <col min="9986" max="9986" width="11.85546875" style="151" customWidth="1"/>
    <col min="9987" max="9987" width="10" style="151" customWidth="1"/>
    <col min="9988" max="9988" width="11.140625" style="151" customWidth="1"/>
    <col min="9989" max="9989" width="10.28515625" style="151" bestFit="1" customWidth="1"/>
    <col min="9990" max="9990" width="10.140625" style="151" bestFit="1" customWidth="1"/>
    <col min="9991" max="9991" width="12" style="151" bestFit="1" customWidth="1"/>
    <col min="9992" max="9992" width="14.28515625" style="151" bestFit="1" customWidth="1"/>
    <col min="9993" max="9993" width="13.5703125" style="151" bestFit="1" customWidth="1"/>
    <col min="9994" max="9994" width="13.85546875" style="151" bestFit="1" customWidth="1"/>
    <col min="9995" max="10237" width="9.140625" style="151"/>
    <col min="10238" max="10238" width="4.42578125" style="151" customWidth="1"/>
    <col min="10239" max="10239" width="46.85546875" style="151" customWidth="1"/>
    <col min="10240" max="10240" width="11.28515625" style="151" bestFit="1" customWidth="1"/>
    <col min="10241" max="10241" width="11.42578125" style="151" bestFit="1" customWidth="1"/>
    <col min="10242" max="10242" width="11.85546875" style="151" customWidth="1"/>
    <col min="10243" max="10243" width="10" style="151" customWidth="1"/>
    <col min="10244" max="10244" width="11.140625" style="151" customWidth="1"/>
    <col min="10245" max="10245" width="10.28515625" style="151" bestFit="1" customWidth="1"/>
    <col min="10246" max="10246" width="10.140625" style="151" bestFit="1" customWidth="1"/>
    <col min="10247" max="10247" width="12" style="151" bestFit="1" customWidth="1"/>
    <col min="10248" max="10248" width="14.28515625" style="151" bestFit="1" customWidth="1"/>
    <col min="10249" max="10249" width="13.5703125" style="151" bestFit="1" customWidth="1"/>
    <col min="10250" max="10250" width="13.85546875" style="151" bestFit="1" customWidth="1"/>
    <col min="10251" max="10493" width="9.140625" style="151"/>
    <col min="10494" max="10494" width="4.42578125" style="151" customWidth="1"/>
    <col min="10495" max="10495" width="46.85546875" style="151" customWidth="1"/>
    <col min="10496" max="10496" width="11.28515625" style="151" bestFit="1" customWidth="1"/>
    <col min="10497" max="10497" width="11.42578125" style="151" bestFit="1" customWidth="1"/>
    <col min="10498" max="10498" width="11.85546875" style="151" customWidth="1"/>
    <col min="10499" max="10499" width="10" style="151" customWidth="1"/>
    <col min="10500" max="10500" width="11.140625" style="151" customWidth="1"/>
    <col min="10501" max="10501" width="10.28515625" style="151" bestFit="1" customWidth="1"/>
    <col min="10502" max="10502" width="10.140625" style="151" bestFit="1" customWidth="1"/>
    <col min="10503" max="10503" width="12" style="151" bestFit="1" customWidth="1"/>
    <col min="10504" max="10504" width="14.28515625" style="151" bestFit="1" customWidth="1"/>
    <col min="10505" max="10505" width="13.5703125" style="151" bestFit="1" customWidth="1"/>
    <col min="10506" max="10506" width="13.85546875" style="151" bestFit="1" customWidth="1"/>
    <col min="10507" max="10749" width="9.140625" style="151"/>
    <col min="10750" max="10750" width="4.42578125" style="151" customWidth="1"/>
    <col min="10751" max="10751" width="46.85546875" style="151" customWidth="1"/>
    <col min="10752" max="10752" width="11.28515625" style="151" bestFit="1" customWidth="1"/>
    <col min="10753" max="10753" width="11.42578125" style="151" bestFit="1" customWidth="1"/>
    <col min="10754" max="10754" width="11.85546875" style="151" customWidth="1"/>
    <col min="10755" max="10755" width="10" style="151" customWidth="1"/>
    <col min="10756" max="10756" width="11.140625" style="151" customWidth="1"/>
    <col min="10757" max="10757" width="10.28515625" style="151" bestFit="1" customWidth="1"/>
    <col min="10758" max="10758" width="10.140625" style="151" bestFit="1" customWidth="1"/>
    <col min="10759" max="10759" width="12" style="151" bestFit="1" customWidth="1"/>
    <col min="10760" max="10760" width="14.28515625" style="151" bestFit="1" customWidth="1"/>
    <col min="10761" max="10761" width="13.5703125" style="151" bestFit="1" customWidth="1"/>
    <col min="10762" max="10762" width="13.85546875" style="151" bestFit="1" customWidth="1"/>
    <col min="10763" max="11005" width="9.140625" style="151"/>
    <col min="11006" max="11006" width="4.42578125" style="151" customWidth="1"/>
    <col min="11007" max="11007" width="46.85546875" style="151" customWidth="1"/>
    <col min="11008" max="11008" width="11.28515625" style="151" bestFit="1" customWidth="1"/>
    <col min="11009" max="11009" width="11.42578125" style="151" bestFit="1" customWidth="1"/>
    <col min="11010" max="11010" width="11.85546875" style="151" customWidth="1"/>
    <col min="11011" max="11011" width="10" style="151" customWidth="1"/>
    <col min="11012" max="11012" width="11.140625" style="151" customWidth="1"/>
    <col min="11013" max="11013" width="10.28515625" style="151" bestFit="1" customWidth="1"/>
    <col min="11014" max="11014" width="10.140625" style="151" bestFit="1" customWidth="1"/>
    <col min="11015" max="11015" width="12" style="151" bestFit="1" customWidth="1"/>
    <col min="11016" max="11016" width="14.28515625" style="151" bestFit="1" customWidth="1"/>
    <col min="11017" max="11017" width="13.5703125" style="151" bestFit="1" customWidth="1"/>
    <col min="11018" max="11018" width="13.85546875" style="151" bestFit="1" customWidth="1"/>
    <col min="11019" max="11261" width="9.140625" style="151"/>
    <col min="11262" max="11262" width="4.42578125" style="151" customWidth="1"/>
    <col min="11263" max="11263" width="46.85546875" style="151" customWidth="1"/>
    <col min="11264" max="11264" width="11.28515625" style="151" bestFit="1" customWidth="1"/>
    <col min="11265" max="11265" width="11.42578125" style="151" bestFit="1" customWidth="1"/>
    <col min="11266" max="11266" width="11.85546875" style="151" customWidth="1"/>
    <col min="11267" max="11267" width="10" style="151" customWidth="1"/>
    <col min="11268" max="11268" width="11.140625" style="151" customWidth="1"/>
    <col min="11269" max="11269" width="10.28515625" style="151" bestFit="1" customWidth="1"/>
    <col min="11270" max="11270" width="10.140625" style="151" bestFit="1" customWidth="1"/>
    <col min="11271" max="11271" width="12" style="151" bestFit="1" customWidth="1"/>
    <col min="11272" max="11272" width="14.28515625" style="151" bestFit="1" customWidth="1"/>
    <col min="11273" max="11273" width="13.5703125" style="151" bestFit="1" customWidth="1"/>
    <col min="11274" max="11274" width="13.85546875" style="151" bestFit="1" customWidth="1"/>
    <col min="11275" max="11517" width="9.140625" style="151"/>
    <col min="11518" max="11518" width="4.42578125" style="151" customWidth="1"/>
    <col min="11519" max="11519" width="46.85546875" style="151" customWidth="1"/>
    <col min="11520" max="11520" width="11.28515625" style="151" bestFit="1" customWidth="1"/>
    <col min="11521" max="11521" width="11.42578125" style="151" bestFit="1" customWidth="1"/>
    <col min="11522" max="11522" width="11.85546875" style="151" customWidth="1"/>
    <col min="11523" max="11523" width="10" style="151" customWidth="1"/>
    <col min="11524" max="11524" width="11.140625" style="151" customWidth="1"/>
    <col min="11525" max="11525" width="10.28515625" style="151" bestFit="1" customWidth="1"/>
    <col min="11526" max="11526" width="10.140625" style="151" bestFit="1" customWidth="1"/>
    <col min="11527" max="11527" width="12" style="151" bestFit="1" customWidth="1"/>
    <col min="11528" max="11528" width="14.28515625" style="151" bestFit="1" customWidth="1"/>
    <col min="11529" max="11529" width="13.5703125" style="151" bestFit="1" customWidth="1"/>
    <col min="11530" max="11530" width="13.85546875" style="151" bestFit="1" customWidth="1"/>
    <col min="11531" max="11773" width="9.140625" style="151"/>
    <col min="11774" max="11774" width="4.42578125" style="151" customWidth="1"/>
    <col min="11775" max="11775" width="46.85546875" style="151" customWidth="1"/>
    <col min="11776" max="11776" width="11.28515625" style="151" bestFit="1" customWidth="1"/>
    <col min="11777" max="11777" width="11.42578125" style="151" bestFit="1" customWidth="1"/>
    <col min="11778" max="11778" width="11.85546875" style="151" customWidth="1"/>
    <col min="11779" max="11779" width="10" style="151" customWidth="1"/>
    <col min="11780" max="11780" width="11.140625" style="151" customWidth="1"/>
    <col min="11781" max="11781" width="10.28515625" style="151" bestFit="1" customWidth="1"/>
    <col min="11782" max="11782" width="10.140625" style="151" bestFit="1" customWidth="1"/>
    <col min="11783" max="11783" width="12" style="151" bestFit="1" customWidth="1"/>
    <col min="11784" max="11784" width="14.28515625" style="151" bestFit="1" customWidth="1"/>
    <col min="11785" max="11785" width="13.5703125" style="151" bestFit="1" customWidth="1"/>
    <col min="11786" max="11786" width="13.85546875" style="151" bestFit="1" customWidth="1"/>
    <col min="11787" max="12029" width="9.140625" style="151"/>
    <col min="12030" max="12030" width="4.42578125" style="151" customWidth="1"/>
    <col min="12031" max="12031" width="46.85546875" style="151" customWidth="1"/>
    <col min="12032" max="12032" width="11.28515625" style="151" bestFit="1" customWidth="1"/>
    <col min="12033" max="12033" width="11.42578125" style="151" bestFit="1" customWidth="1"/>
    <col min="12034" max="12034" width="11.85546875" style="151" customWidth="1"/>
    <col min="12035" max="12035" width="10" style="151" customWidth="1"/>
    <col min="12036" max="12036" width="11.140625" style="151" customWidth="1"/>
    <col min="12037" max="12037" width="10.28515625" style="151" bestFit="1" customWidth="1"/>
    <col min="12038" max="12038" width="10.140625" style="151" bestFit="1" customWidth="1"/>
    <col min="12039" max="12039" width="12" style="151" bestFit="1" customWidth="1"/>
    <col min="12040" max="12040" width="14.28515625" style="151" bestFit="1" customWidth="1"/>
    <col min="12041" max="12041" width="13.5703125" style="151" bestFit="1" customWidth="1"/>
    <col min="12042" max="12042" width="13.85546875" style="151" bestFit="1" customWidth="1"/>
    <col min="12043" max="12285" width="9.140625" style="151"/>
    <col min="12286" max="12286" width="4.42578125" style="151" customWidth="1"/>
    <col min="12287" max="12287" width="46.85546875" style="151" customWidth="1"/>
    <col min="12288" max="12288" width="11.28515625" style="151" bestFit="1" customWidth="1"/>
    <col min="12289" max="12289" width="11.42578125" style="151" bestFit="1" customWidth="1"/>
    <col min="12290" max="12290" width="11.85546875" style="151" customWidth="1"/>
    <col min="12291" max="12291" width="10" style="151" customWidth="1"/>
    <col min="12292" max="12292" width="11.140625" style="151" customWidth="1"/>
    <col min="12293" max="12293" width="10.28515625" style="151" bestFit="1" customWidth="1"/>
    <col min="12294" max="12294" width="10.140625" style="151" bestFit="1" customWidth="1"/>
    <col min="12295" max="12295" width="12" style="151" bestFit="1" customWidth="1"/>
    <col min="12296" max="12296" width="14.28515625" style="151" bestFit="1" customWidth="1"/>
    <col min="12297" max="12297" width="13.5703125" style="151" bestFit="1" customWidth="1"/>
    <col min="12298" max="12298" width="13.85546875" style="151" bestFit="1" customWidth="1"/>
    <col min="12299" max="12541" width="9.140625" style="151"/>
    <col min="12542" max="12542" width="4.42578125" style="151" customWidth="1"/>
    <col min="12543" max="12543" width="46.85546875" style="151" customWidth="1"/>
    <col min="12544" max="12544" width="11.28515625" style="151" bestFit="1" customWidth="1"/>
    <col min="12545" max="12545" width="11.42578125" style="151" bestFit="1" customWidth="1"/>
    <col min="12546" max="12546" width="11.85546875" style="151" customWidth="1"/>
    <col min="12547" max="12547" width="10" style="151" customWidth="1"/>
    <col min="12548" max="12548" width="11.140625" style="151" customWidth="1"/>
    <col min="12549" max="12549" width="10.28515625" style="151" bestFit="1" customWidth="1"/>
    <col min="12550" max="12550" width="10.140625" style="151" bestFit="1" customWidth="1"/>
    <col min="12551" max="12551" width="12" style="151" bestFit="1" customWidth="1"/>
    <col min="12552" max="12552" width="14.28515625" style="151" bestFit="1" customWidth="1"/>
    <col min="12553" max="12553" width="13.5703125" style="151" bestFit="1" customWidth="1"/>
    <col min="12554" max="12554" width="13.85546875" style="151" bestFit="1" customWidth="1"/>
    <col min="12555" max="12797" width="9.140625" style="151"/>
    <col min="12798" max="12798" width="4.42578125" style="151" customWidth="1"/>
    <col min="12799" max="12799" width="46.85546875" style="151" customWidth="1"/>
    <col min="12800" max="12800" width="11.28515625" style="151" bestFit="1" customWidth="1"/>
    <col min="12801" max="12801" width="11.42578125" style="151" bestFit="1" customWidth="1"/>
    <col min="12802" max="12802" width="11.85546875" style="151" customWidth="1"/>
    <col min="12803" max="12803" width="10" style="151" customWidth="1"/>
    <col min="12804" max="12804" width="11.140625" style="151" customWidth="1"/>
    <col min="12805" max="12805" width="10.28515625" style="151" bestFit="1" customWidth="1"/>
    <col min="12806" max="12806" width="10.140625" style="151" bestFit="1" customWidth="1"/>
    <col min="12807" max="12807" width="12" style="151" bestFit="1" customWidth="1"/>
    <col min="12808" max="12808" width="14.28515625" style="151" bestFit="1" customWidth="1"/>
    <col min="12809" max="12809" width="13.5703125" style="151" bestFit="1" customWidth="1"/>
    <col min="12810" max="12810" width="13.85546875" style="151" bestFit="1" customWidth="1"/>
    <col min="12811" max="13053" width="9.140625" style="151"/>
    <col min="13054" max="13054" width="4.42578125" style="151" customWidth="1"/>
    <col min="13055" max="13055" width="46.85546875" style="151" customWidth="1"/>
    <col min="13056" max="13056" width="11.28515625" style="151" bestFit="1" customWidth="1"/>
    <col min="13057" max="13057" width="11.42578125" style="151" bestFit="1" customWidth="1"/>
    <col min="13058" max="13058" width="11.85546875" style="151" customWidth="1"/>
    <col min="13059" max="13059" width="10" style="151" customWidth="1"/>
    <col min="13060" max="13060" width="11.140625" style="151" customWidth="1"/>
    <col min="13061" max="13061" width="10.28515625" style="151" bestFit="1" customWidth="1"/>
    <col min="13062" max="13062" width="10.140625" style="151" bestFit="1" customWidth="1"/>
    <col min="13063" max="13063" width="12" style="151" bestFit="1" customWidth="1"/>
    <col min="13064" max="13064" width="14.28515625" style="151" bestFit="1" customWidth="1"/>
    <col min="13065" max="13065" width="13.5703125" style="151" bestFit="1" customWidth="1"/>
    <col min="13066" max="13066" width="13.85546875" style="151" bestFit="1" customWidth="1"/>
    <col min="13067" max="13309" width="9.140625" style="151"/>
    <col min="13310" max="13310" width="4.42578125" style="151" customWidth="1"/>
    <col min="13311" max="13311" width="46.85546875" style="151" customWidth="1"/>
    <col min="13312" max="13312" width="11.28515625" style="151" bestFit="1" customWidth="1"/>
    <col min="13313" max="13313" width="11.42578125" style="151" bestFit="1" customWidth="1"/>
    <col min="13314" max="13314" width="11.85546875" style="151" customWidth="1"/>
    <col min="13315" max="13315" width="10" style="151" customWidth="1"/>
    <col min="13316" max="13316" width="11.140625" style="151" customWidth="1"/>
    <col min="13317" max="13317" width="10.28515625" style="151" bestFit="1" customWidth="1"/>
    <col min="13318" max="13318" width="10.140625" style="151" bestFit="1" customWidth="1"/>
    <col min="13319" max="13319" width="12" style="151" bestFit="1" customWidth="1"/>
    <col min="13320" max="13320" width="14.28515625" style="151" bestFit="1" customWidth="1"/>
    <col min="13321" max="13321" width="13.5703125" style="151" bestFit="1" customWidth="1"/>
    <col min="13322" max="13322" width="13.85546875" style="151" bestFit="1" customWidth="1"/>
    <col min="13323" max="13565" width="9.140625" style="151"/>
    <col min="13566" max="13566" width="4.42578125" style="151" customWidth="1"/>
    <col min="13567" max="13567" width="46.85546875" style="151" customWidth="1"/>
    <col min="13568" max="13568" width="11.28515625" style="151" bestFit="1" customWidth="1"/>
    <col min="13569" max="13569" width="11.42578125" style="151" bestFit="1" customWidth="1"/>
    <col min="13570" max="13570" width="11.85546875" style="151" customWidth="1"/>
    <col min="13571" max="13571" width="10" style="151" customWidth="1"/>
    <col min="13572" max="13572" width="11.140625" style="151" customWidth="1"/>
    <col min="13573" max="13573" width="10.28515625" style="151" bestFit="1" customWidth="1"/>
    <col min="13574" max="13574" width="10.140625" style="151" bestFit="1" customWidth="1"/>
    <col min="13575" max="13575" width="12" style="151" bestFit="1" customWidth="1"/>
    <col min="13576" max="13576" width="14.28515625" style="151" bestFit="1" customWidth="1"/>
    <col min="13577" max="13577" width="13.5703125" style="151" bestFit="1" customWidth="1"/>
    <col min="13578" max="13578" width="13.85546875" style="151" bestFit="1" customWidth="1"/>
    <col min="13579" max="13821" width="9.140625" style="151"/>
    <col min="13822" max="13822" width="4.42578125" style="151" customWidth="1"/>
    <col min="13823" max="13823" width="46.85546875" style="151" customWidth="1"/>
    <col min="13824" max="13824" width="11.28515625" style="151" bestFit="1" customWidth="1"/>
    <col min="13825" max="13825" width="11.42578125" style="151" bestFit="1" customWidth="1"/>
    <col min="13826" max="13826" width="11.85546875" style="151" customWidth="1"/>
    <col min="13827" max="13827" width="10" style="151" customWidth="1"/>
    <col min="13828" max="13828" width="11.140625" style="151" customWidth="1"/>
    <col min="13829" max="13829" width="10.28515625" style="151" bestFit="1" customWidth="1"/>
    <col min="13830" max="13830" width="10.140625" style="151" bestFit="1" customWidth="1"/>
    <col min="13831" max="13831" width="12" style="151" bestFit="1" customWidth="1"/>
    <col min="13832" max="13832" width="14.28515625" style="151" bestFit="1" customWidth="1"/>
    <col min="13833" max="13833" width="13.5703125" style="151" bestFit="1" customWidth="1"/>
    <col min="13834" max="13834" width="13.85546875" style="151" bestFit="1" customWidth="1"/>
    <col min="13835" max="14077" width="9.140625" style="151"/>
    <col min="14078" max="14078" width="4.42578125" style="151" customWidth="1"/>
    <col min="14079" max="14079" width="46.85546875" style="151" customWidth="1"/>
    <col min="14080" max="14080" width="11.28515625" style="151" bestFit="1" customWidth="1"/>
    <col min="14081" max="14081" width="11.42578125" style="151" bestFit="1" customWidth="1"/>
    <col min="14082" max="14082" width="11.85546875" style="151" customWidth="1"/>
    <col min="14083" max="14083" width="10" style="151" customWidth="1"/>
    <col min="14084" max="14084" width="11.140625" style="151" customWidth="1"/>
    <col min="14085" max="14085" width="10.28515625" style="151" bestFit="1" customWidth="1"/>
    <col min="14086" max="14086" width="10.140625" style="151" bestFit="1" customWidth="1"/>
    <col min="14087" max="14087" width="12" style="151" bestFit="1" customWidth="1"/>
    <col min="14088" max="14088" width="14.28515625" style="151" bestFit="1" customWidth="1"/>
    <col min="14089" max="14089" width="13.5703125" style="151" bestFit="1" customWidth="1"/>
    <col min="14090" max="14090" width="13.85546875" style="151" bestFit="1" customWidth="1"/>
    <col min="14091" max="14333" width="9.140625" style="151"/>
    <col min="14334" max="14334" width="4.42578125" style="151" customWidth="1"/>
    <col min="14335" max="14335" width="46.85546875" style="151" customWidth="1"/>
    <col min="14336" max="14336" width="11.28515625" style="151" bestFit="1" customWidth="1"/>
    <col min="14337" max="14337" width="11.42578125" style="151" bestFit="1" customWidth="1"/>
    <col min="14338" max="14338" width="11.85546875" style="151" customWidth="1"/>
    <col min="14339" max="14339" width="10" style="151" customWidth="1"/>
    <col min="14340" max="14340" width="11.140625" style="151" customWidth="1"/>
    <col min="14341" max="14341" width="10.28515625" style="151" bestFit="1" customWidth="1"/>
    <col min="14342" max="14342" width="10.140625" style="151" bestFit="1" customWidth="1"/>
    <col min="14343" max="14343" width="12" style="151" bestFit="1" customWidth="1"/>
    <col min="14344" max="14344" width="14.28515625" style="151" bestFit="1" customWidth="1"/>
    <col min="14345" max="14345" width="13.5703125" style="151" bestFit="1" customWidth="1"/>
    <col min="14346" max="14346" width="13.85546875" style="151" bestFit="1" customWidth="1"/>
    <col min="14347" max="14589" width="9.140625" style="151"/>
    <col min="14590" max="14590" width="4.42578125" style="151" customWidth="1"/>
    <col min="14591" max="14591" width="46.85546875" style="151" customWidth="1"/>
    <col min="14592" max="14592" width="11.28515625" style="151" bestFit="1" customWidth="1"/>
    <col min="14593" max="14593" width="11.42578125" style="151" bestFit="1" customWidth="1"/>
    <col min="14594" max="14594" width="11.85546875" style="151" customWidth="1"/>
    <col min="14595" max="14595" width="10" style="151" customWidth="1"/>
    <col min="14596" max="14596" width="11.140625" style="151" customWidth="1"/>
    <col min="14597" max="14597" width="10.28515625" style="151" bestFit="1" customWidth="1"/>
    <col min="14598" max="14598" width="10.140625" style="151" bestFit="1" customWidth="1"/>
    <col min="14599" max="14599" width="12" style="151" bestFit="1" customWidth="1"/>
    <col min="14600" max="14600" width="14.28515625" style="151" bestFit="1" customWidth="1"/>
    <col min="14601" max="14601" width="13.5703125" style="151" bestFit="1" customWidth="1"/>
    <col min="14602" max="14602" width="13.85546875" style="151" bestFit="1" customWidth="1"/>
    <col min="14603" max="14845" width="9.140625" style="151"/>
    <col min="14846" max="14846" width="4.42578125" style="151" customWidth="1"/>
    <col min="14847" max="14847" width="46.85546875" style="151" customWidth="1"/>
    <col min="14848" max="14848" width="11.28515625" style="151" bestFit="1" customWidth="1"/>
    <col min="14849" max="14849" width="11.42578125" style="151" bestFit="1" customWidth="1"/>
    <col min="14850" max="14850" width="11.85546875" style="151" customWidth="1"/>
    <col min="14851" max="14851" width="10" style="151" customWidth="1"/>
    <col min="14852" max="14852" width="11.140625" style="151" customWidth="1"/>
    <col min="14853" max="14853" width="10.28515625" style="151" bestFit="1" customWidth="1"/>
    <col min="14854" max="14854" width="10.140625" style="151" bestFit="1" customWidth="1"/>
    <col min="14855" max="14855" width="12" style="151" bestFit="1" customWidth="1"/>
    <col min="14856" max="14856" width="14.28515625" style="151" bestFit="1" customWidth="1"/>
    <col min="14857" max="14857" width="13.5703125" style="151" bestFit="1" customWidth="1"/>
    <col min="14858" max="14858" width="13.85546875" style="151" bestFit="1" customWidth="1"/>
    <col min="14859" max="15101" width="9.140625" style="151"/>
    <col min="15102" max="15102" width="4.42578125" style="151" customWidth="1"/>
    <col min="15103" max="15103" width="46.85546875" style="151" customWidth="1"/>
    <col min="15104" max="15104" width="11.28515625" style="151" bestFit="1" customWidth="1"/>
    <col min="15105" max="15105" width="11.42578125" style="151" bestFit="1" customWidth="1"/>
    <col min="15106" max="15106" width="11.85546875" style="151" customWidth="1"/>
    <col min="15107" max="15107" width="10" style="151" customWidth="1"/>
    <col min="15108" max="15108" width="11.140625" style="151" customWidth="1"/>
    <col min="15109" max="15109" width="10.28515625" style="151" bestFit="1" customWidth="1"/>
    <col min="15110" max="15110" width="10.140625" style="151" bestFit="1" customWidth="1"/>
    <col min="15111" max="15111" width="12" style="151" bestFit="1" customWidth="1"/>
    <col min="15112" max="15112" width="14.28515625" style="151" bestFit="1" customWidth="1"/>
    <col min="15113" max="15113" width="13.5703125" style="151" bestFit="1" customWidth="1"/>
    <col min="15114" max="15114" width="13.85546875" style="151" bestFit="1" customWidth="1"/>
    <col min="15115" max="15357" width="9.140625" style="151"/>
    <col min="15358" max="15358" width="4.42578125" style="151" customWidth="1"/>
    <col min="15359" max="15359" width="46.85546875" style="151" customWidth="1"/>
    <col min="15360" max="15360" width="11.28515625" style="151" bestFit="1" customWidth="1"/>
    <col min="15361" max="15361" width="11.42578125" style="151" bestFit="1" customWidth="1"/>
    <col min="15362" max="15362" width="11.85546875" style="151" customWidth="1"/>
    <col min="15363" max="15363" width="10" style="151" customWidth="1"/>
    <col min="15364" max="15364" width="11.140625" style="151" customWidth="1"/>
    <col min="15365" max="15365" width="10.28515625" style="151" bestFit="1" customWidth="1"/>
    <col min="15366" max="15366" width="10.140625" style="151" bestFit="1" customWidth="1"/>
    <col min="15367" max="15367" width="12" style="151" bestFit="1" customWidth="1"/>
    <col min="15368" max="15368" width="14.28515625" style="151" bestFit="1" customWidth="1"/>
    <col min="15369" max="15369" width="13.5703125" style="151" bestFit="1" customWidth="1"/>
    <col min="15370" max="15370" width="13.85546875" style="151" bestFit="1" customWidth="1"/>
    <col min="15371" max="15613" width="9.140625" style="151"/>
    <col min="15614" max="15614" width="4.42578125" style="151" customWidth="1"/>
    <col min="15615" max="15615" width="46.85546875" style="151" customWidth="1"/>
    <col min="15616" max="15616" width="11.28515625" style="151" bestFit="1" customWidth="1"/>
    <col min="15617" max="15617" width="11.42578125" style="151" bestFit="1" customWidth="1"/>
    <col min="15618" max="15618" width="11.85546875" style="151" customWidth="1"/>
    <col min="15619" max="15619" width="10" style="151" customWidth="1"/>
    <col min="15620" max="15620" width="11.140625" style="151" customWidth="1"/>
    <col min="15621" max="15621" width="10.28515625" style="151" bestFit="1" customWidth="1"/>
    <col min="15622" max="15622" width="10.140625" style="151" bestFit="1" customWidth="1"/>
    <col min="15623" max="15623" width="12" style="151" bestFit="1" customWidth="1"/>
    <col min="15624" max="15624" width="14.28515625" style="151" bestFit="1" customWidth="1"/>
    <col min="15625" max="15625" width="13.5703125" style="151" bestFit="1" customWidth="1"/>
    <col min="15626" max="15626" width="13.85546875" style="151" bestFit="1" customWidth="1"/>
    <col min="15627" max="15869" width="9.140625" style="151"/>
    <col min="15870" max="15870" width="4.42578125" style="151" customWidth="1"/>
    <col min="15871" max="15871" width="46.85546875" style="151" customWidth="1"/>
    <col min="15872" max="15872" width="11.28515625" style="151" bestFit="1" customWidth="1"/>
    <col min="15873" max="15873" width="11.42578125" style="151" bestFit="1" customWidth="1"/>
    <col min="15874" max="15874" width="11.85546875" style="151" customWidth="1"/>
    <col min="15875" max="15875" width="10" style="151" customWidth="1"/>
    <col min="15876" max="15876" width="11.140625" style="151" customWidth="1"/>
    <col min="15877" max="15877" width="10.28515625" style="151" bestFit="1" customWidth="1"/>
    <col min="15878" max="15878" width="10.140625" style="151" bestFit="1" customWidth="1"/>
    <col min="15879" max="15879" width="12" style="151" bestFit="1" customWidth="1"/>
    <col min="15880" max="15880" width="14.28515625" style="151" bestFit="1" customWidth="1"/>
    <col min="15881" max="15881" width="13.5703125" style="151" bestFit="1" customWidth="1"/>
    <col min="15882" max="15882" width="13.85546875" style="151" bestFit="1" customWidth="1"/>
    <col min="15883" max="16125" width="9.140625" style="151"/>
    <col min="16126" max="16126" width="4.42578125" style="151" customWidth="1"/>
    <col min="16127" max="16127" width="46.85546875" style="151" customWidth="1"/>
    <col min="16128" max="16128" width="11.28515625" style="151" bestFit="1" customWidth="1"/>
    <col min="16129" max="16129" width="11.42578125" style="151" bestFit="1" customWidth="1"/>
    <col min="16130" max="16130" width="11.85546875" style="151" customWidth="1"/>
    <col min="16131" max="16131" width="10" style="151" customWidth="1"/>
    <col min="16132" max="16132" width="11.140625" style="151" customWidth="1"/>
    <col min="16133" max="16133" width="10.28515625" style="151" bestFit="1" customWidth="1"/>
    <col min="16134" max="16134" width="10.140625" style="151" bestFit="1" customWidth="1"/>
    <col min="16135" max="16135" width="12" style="151" bestFit="1" customWidth="1"/>
    <col min="16136" max="16136" width="14.28515625" style="151" bestFit="1" customWidth="1"/>
    <col min="16137" max="16137" width="13.5703125" style="151" bestFit="1" customWidth="1"/>
    <col min="16138" max="16138" width="13.85546875" style="151" bestFit="1" customWidth="1"/>
    <col min="16139" max="16384" width="9.140625" style="151"/>
  </cols>
  <sheetData>
    <row r="1" spans="1:13" s="148" customFormat="1" ht="15">
      <c r="H1" s="149"/>
      <c r="I1" s="150"/>
      <c r="K1" s="149"/>
    </row>
    <row r="2" spans="1:13" ht="51" customHeight="1">
      <c r="A2" s="543" t="s">
        <v>1</v>
      </c>
      <c r="B2" s="543" t="s">
        <v>141</v>
      </c>
      <c r="C2" s="543" t="s">
        <v>354</v>
      </c>
      <c r="D2" s="545" t="s">
        <v>355</v>
      </c>
      <c r="E2" s="536" t="s">
        <v>356</v>
      </c>
      <c r="F2" s="536" t="s">
        <v>145</v>
      </c>
      <c r="G2" s="536" t="s">
        <v>146</v>
      </c>
      <c r="H2" s="537" t="s">
        <v>147</v>
      </c>
      <c r="I2" s="539" t="s">
        <v>148</v>
      </c>
      <c r="J2" s="541" t="s">
        <v>357</v>
      </c>
      <c r="K2" s="532" t="s">
        <v>150</v>
      </c>
      <c r="L2" s="532" t="s">
        <v>151</v>
      </c>
      <c r="M2" s="532" t="s">
        <v>152</v>
      </c>
    </row>
    <row r="3" spans="1:13" ht="130.5" customHeight="1">
      <c r="A3" s="544"/>
      <c r="B3" s="543"/>
      <c r="C3" s="543"/>
      <c r="D3" s="546"/>
      <c r="E3" s="536"/>
      <c r="F3" s="536"/>
      <c r="G3" s="536"/>
      <c r="H3" s="538"/>
      <c r="I3" s="540"/>
      <c r="J3" s="542"/>
      <c r="K3" s="533"/>
      <c r="L3" s="533"/>
      <c r="M3" s="533"/>
    </row>
    <row r="4" spans="1:13" ht="15">
      <c r="A4" s="152"/>
      <c r="B4" s="153"/>
      <c r="C4" s="153">
        <v>1</v>
      </c>
      <c r="D4" s="153">
        <f t="shared" ref="D4:M4" si="0">C4+1</f>
        <v>2</v>
      </c>
      <c r="E4" s="153">
        <f t="shared" si="0"/>
        <v>3</v>
      </c>
      <c r="F4" s="153">
        <f t="shared" si="0"/>
        <v>4</v>
      </c>
      <c r="G4" s="153">
        <f t="shared" si="0"/>
        <v>5</v>
      </c>
      <c r="H4" s="153">
        <f t="shared" si="0"/>
        <v>6</v>
      </c>
      <c r="I4" s="153">
        <f t="shared" si="0"/>
        <v>7</v>
      </c>
      <c r="J4" s="153">
        <f t="shared" si="0"/>
        <v>8</v>
      </c>
      <c r="K4" s="153">
        <f t="shared" si="0"/>
        <v>9</v>
      </c>
      <c r="L4" s="153">
        <f t="shared" si="0"/>
        <v>10</v>
      </c>
      <c r="M4" s="153">
        <f t="shared" si="0"/>
        <v>11</v>
      </c>
    </row>
    <row r="5" spans="1:13" s="159" customFormat="1" ht="31.5" customHeight="1">
      <c r="A5" s="152"/>
      <c r="B5" s="153"/>
      <c r="C5" s="155" t="s">
        <v>358</v>
      </c>
      <c r="D5" s="154" t="s">
        <v>153</v>
      </c>
      <c r="E5" s="154" t="s">
        <v>154</v>
      </c>
      <c r="F5" s="155" t="s">
        <v>155</v>
      </c>
      <c r="G5" s="155" t="s">
        <v>156</v>
      </c>
      <c r="H5" s="156" t="s">
        <v>157</v>
      </c>
      <c r="I5" s="157" t="s">
        <v>158</v>
      </c>
      <c r="J5" s="156" t="s">
        <v>159</v>
      </c>
      <c r="K5" s="158" t="s">
        <v>160</v>
      </c>
      <c r="L5" s="155" t="s">
        <v>161</v>
      </c>
      <c r="M5" s="155" t="s">
        <v>162</v>
      </c>
    </row>
    <row r="6" spans="1:13" ht="0.75" customHeight="1">
      <c r="A6" s="402">
        <v>1</v>
      </c>
      <c r="B6" s="161" t="s">
        <v>163</v>
      </c>
      <c r="C6" s="162">
        <f>'[16]2-1-13 SIS'!C7+'[16]2-1-13 SIS'!R7</f>
        <v>9554</v>
      </c>
      <c r="D6" s="162">
        <f>'[17]10.1.13 ALL'!C6</f>
        <v>9784</v>
      </c>
      <c r="E6" s="163">
        <f t="shared" ref="E6:E69" si="1">D6-C6</f>
        <v>230</v>
      </c>
      <c r="F6" s="163">
        <f t="shared" ref="F6:F69" si="2">IF(E6&gt;0,E6,0)</f>
        <v>230</v>
      </c>
      <c r="G6" s="163">
        <f t="shared" ref="G6:G69" si="3">IF(E6&lt;0,E6,0)</f>
        <v>0</v>
      </c>
      <c r="H6" s="164">
        <f>'[18]Table 3 Levels 1&amp;2'!AL8</f>
        <v>4597.5882673899441</v>
      </c>
      <c r="I6" s="164">
        <f>'[18]Table 4 Level 3'!P6</f>
        <v>777.48</v>
      </c>
      <c r="J6" s="164">
        <f t="shared" ref="J6:J69" si="4">I6+H6</f>
        <v>5375.0682673899446</v>
      </c>
      <c r="K6" s="165">
        <f t="shared" ref="K6:K69" si="5">E6*J6</f>
        <v>1236265.7014996873</v>
      </c>
      <c r="L6" s="164">
        <f t="shared" ref="L6:L69" si="6">IF(K6&gt;0,K6,0)</f>
        <v>1236265.7014996873</v>
      </c>
      <c r="M6" s="164">
        <f t="shared" ref="M6:M69" si="7">IF(K6&lt;0,K6,0)</f>
        <v>0</v>
      </c>
    </row>
    <row r="7" spans="1:13" ht="12" hidden="1" customHeight="1">
      <c r="A7" s="402">
        <v>2</v>
      </c>
      <c r="B7" s="161" t="s">
        <v>164</v>
      </c>
      <c r="C7" s="162">
        <f>'[16]2-1-13 SIS'!C8+'[16]2-1-13 SIS'!R8</f>
        <v>4077</v>
      </c>
      <c r="D7" s="162">
        <f>'[17]10.1.13 ALL'!C7</f>
        <v>4102</v>
      </c>
      <c r="E7" s="163">
        <f t="shared" si="1"/>
        <v>25</v>
      </c>
      <c r="F7" s="163">
        <f t="shared" si="2"/>
        <v>25</v>
      </c>
      <c r="G7" s="163">
        <f t="shared" si="3"/>
        <v>0</v>
      </c>
      <c r="H7" s="164">
        <f>'[18]Table 3 Levels 1&amp;2'!AL9</f>
        <v>6182.4313545138375</v>
      </c>
      <c r="I7" s="164">
        <f>'[18]Table 4 Level 3'!P7</f>
        <v>842.32</v>
      </c>
      <c r="J7" s="164">
        <f t="shared" si="4"/>
        <v>7024.7513545138372</v>
      </c>
      <c r="K7" s="165">
        <f t="shared" si="5"/>
        <v>175618.78386284594</v>
      </c>
      <c r="L7" s="164">
        <f t="shared" si="6"/>
        <v>175618.78386284594</v>
      </c>
      <c r="M7" s="164">
        <f t="shared" si="7"/>
        <v>0</v>
      </c>
    </row>
    <row r="8" spans="1:13" ht="15" hidden="1" thickBot="1">
      <c r="A8" s="402">
        <v>3</v>
      </c>
      <c r="B8" s="161" t="s">
        <v>165</v>
      </c>
      <c r="C8" s="162">
        <f>'[16]2-1-13 SIS'!C9+'[16]2-1-13 SIS'!R9</f>
        <v>20525</v>
      </c>
      <c r="D8" s="166">
        <f>'[17]10.1.13 ALL'!C8</f>
        <v>20933</v>
      </c>
      <c r="E8" s="163">
        <f t="shared" si="1"/>
        <v>408</v>
      </c>
      <c r="F8" s="163">
        <f t="shared" si="2"/>
        <v>408</v>
      </c>
      <c r="G8" s="163">
        <f t="shared" si="3"/>
        <v>0</v>
      </c>
      <c r="H8" s="164">
        <f>'[18]Table 3 Levels 1&amp;2'!AL10</f>
        <v>4206.710737685361</v>
      </c>
      <c r="I8" s="167">
        <f>'[18]Table 4 Level 3'!P8</f>
        <v>596.84</v>
      </c>
      <c r="J8" s="167">
        <f t="shared" si="4"/>
        <v>4803.5507376853611</v>
      </c>
      <c r="K8" s="165">
        <f t="shared" si="5"/>
        <v>1959848.7009756274</v>
      </c>
      <c r="L8" s="167">
        <f t="shared" si="6"/>
        <v>1959848.7009756274</v>
      </c>
      <c r="M8" s="167">
        <f t="shared" si="7"/>
        <v>0</v>
      </c>
    </row>
    <row r="9" spans="1:13" ht="15" hidden="1" thickBot="1">
      <c r="A9" s="402">
        <v>4</v>
      </c>
      <c r="B9" s="161" t="s">
        <v>166</v>
      </c>
      <c r="C9" s="162">
        <f>'[16]2-1-13 SIS'!C10+'[16]2-1-13 SIS'!R10</f>
        <v>3545</v>
      </c>
      <c r="D9" s="166">
        <f>'[17]10.1.13 ALL'!C9</f>
        <v>3597</v>
      </c>
      <c r="E9" s="163">
        <f t="shared" si="1"/>
        <v>52</v>
      </c>
      <c r="F9" s="163">
        <f t="shared" si="2"/>
        <v>52</v>
      </c>
      <c r="G9" s="163">
        <f t="shared" si="3"/>
        <v>0</v>
      </c>
      <c r="H9" s="164">
        <f>'[18]Table 3 Levels 1&amp;2'!AL11</f>
        <v>5987.4993535453223</v>
      </c>
      <c r="I9" s="167">
        <f>'[18]Table 4 Level 3'!P9</f>
        <v>585.76</v>
      </c>
      <c r="J9" s="167">
        <f t="shared" si="4"/>
        <v>6573.2593535453225</v>
      </c>
      <c r="K9" s="165">
        <f t="shared" si="5"/>
        <v>341809.48638435674</v>
      </c>
      <c r="L9" s="167">
        <f t="shared" si="6"/>
        <v>341809.48638435674</v>
      </c>
      <c r="M9" s="167">
        <f t="shared" si="7"/>
        <v>0</v>
      </c>
    </row>
    <row r="10" spans="1:13" ht="15" hidden="1" thickBot="1">
      <c r="A10" s="403">
        <v>5</v>
      </c>
      <c r="B10" s="169" t="s">
        <v>167</v>
      </c>
      <c r="C10" s="171">
        <f>'[16]2-1-13 SIS'!C11+'[16]2-1-13 SIS'!R11</f>
        <v>5723</v>
      </c>
      <c r="D10" s="170">
        <f>'[17]10.1.13 ALL'!C10</f>
        <v>5658</v>
      </c>
      <c r="E10" s="172">
        <f t="shared" si="1"/>
        <v>-65</v>
      </c>
      <c r="F10" s="172">
        <f t="shared" si="2"/>
        <v>0</v>
      </c>
      <c r="G10" s="172">
        <f t="shared" si="3"/>
        <v>-65</v>
      </c>
      <c r="H10" s="173">
        <f>'[18]Table 3 Levels 1&amp;2'!AL12</f>
        <v>4986.8166927080074</v>
      </c>
      <c r="I10" s="174">
        <f>'[18]Table 4 Level 3'!P10</f>
        <v>555.91</v>
      </c>
      <c r="J10" s="174">
        <f t="shared" si="4"/>
        <v>5542.7266927080072</v>
      </c>
      <c r="K10" s="175">
        <f t="shared" si="5"/>
        <v>-360277.2350260205</v>
      </c>
      <c r="L10" s="174">
        <f t="shared" si="6"/>
        <v>0</v>
      </c>
      <c r="M10" s="174">
        <f t="shared" si="7"/>
        <v>-360277.2350260205</v>
      </c>
    </row>
    <row r="11" spans="1:13" ht="15" hidden="1" thickBot="1">
      <c r="A11" s="402">
        <v>6</v>
      </c>
      <c r="B11" s="161" t="s">
        <v>168</v>
      </c>
      <c r="C11" s="162">
        <f>'[16]2-1-13 SIS'!C12+'[16]2-1-13 SIS'!R12</f>
        <v>6018</v>
      </c>
      <c r="D11" s="162">
        <f>'[17]10.1.13 ALL'!C11</f>
        <v>5945</v>
      </c>
      <c r="E11" s="163">
        <f t="shared" si="1"/>
        <v>-73</v>
      </c>
      <c r="F11" s="163">
        <f t="shared" si="2"/>
        <v>0</v>
      </c>
      <c r="G11" s="163">
        <f t="shared" si="3"/>
        <v>-73</v>
      </c>
      <c r="H11" s="164">
        <f>'[18]Table 3 Levels 1&amp;2'!AL13</f>
        <v>5412.7883404260592</v>
      </c>
      <c r="I11" s="164">
        <f>'[18]Table 4 Level 3'!P11</f>
        <v>545.4799999999999</v>
      </c>
      <c r="J11" s="164">
        <f t="shared" si="4"/>
        <v>5958.2683404260588</v>
      </c>
      <c r="K11" s="165">
        <f t="shared" si="5"/>
        <v>-434953.58885110228</v>
      </c>
      <c r="L11" s="164">
        <f t="shared" si="6"/>
        <v>0</v>
      </c>
      <c r="M11" s="164">
        <f t="shared" si="7"/>
        <v>-434953.58885110228</v>
      </c>
    </row>
    <row r="12" spans="1:13" ht="15" hidden="1" thickBot="1">
      <c r="A12" s="402">
        <v>7</v>
      </c>
      <c r="B12" s="161" t="s">
        <v>169</v>
      </c>
      <c r="C12" s="162">
        <f>'[16]2-1-13 SIS'!C13+'[16]2-1-13 SIS'!R13</f>
        <v>2191</v>
      </c>
      <c r="D12" s="162">
        <f>'[17]10.1.13 ALL'!C12</f>
        <v>2185</v>
      </c>
      <c r="E12" s="163">
        <f t="shared" si="1"/>
        <v>-6</v>
      </c>
      <c r="F12" s="163">
        <f t="shared" si="2"/>
        <v>0</v>
      </c>
      <c r="G12" s="163">
        <f t="shared" si="3"/>
        <v>-6</v>
      </c>
      <c r="H12" s="164">
        <f>'[18]Table 3 Levels 1&amp;2'!AL14</f>
        <v>1766.1023604176123</v>
      </c>
      <c r="I12" s="164">
        <f>'[18]Table 4 Level 3'!P12</f>
        <v>756.91999999999985</v>
      </c>
      <c r="J12" s="164">
        <f t="shared" si="4"/>
        <v>2523.0223604176122</v>
      </c>
      <c r="K12" s="165">
        <f t="shared" si="5"/>
        <v>-15138.134162505674</v>
      </c>
      <c r="L12" s="164">
        <f t="shared" si="6"/>
        <v>0</v>
      </c>
      <c r="M12" s="164">
        <f t="shared" si="7"/>
        <v>-15138.134162505674</v>
      </c>
    </row>
    <row r="13" spans="1:13" ht="15" hidden="1" thickBot="1">
      <c r="A13" s="402">
        <v>8</v>
      </c>
      <c r="B13" s="161" t="s">
        <v>170</v>
      </c>
      <c r="C13" s="162">
        <f>'[16]2-1-13 SIS'!C14+'[16]2-1-13 SIS'!R14</f>
        <v>21110</v>
      </c>
      <c r="D13" s="166">
        <f>'[17]10.1.13 ALL'!C13</f>
        <v>21547</v>
      </c>
      <c r="E13" s="163">
        <f t="shared" si="1"/>
        <v>437</v>
      </c>
      <c r="F13" s="163">
        <f t="shared" si="2"/>
        <v>437</v>
      </c>
      <c r="G13" s="163">
        <f t="shared" si="3"/>
        <v>0</v>
      </c>
      <c r="H13" s="164">
        <f>'[18]Table 3 Levels 1&amp;2'!AL15</f>
        <v>4289.5073606712331</v>
      </c>
      <c r="I13" s="167">
        <f>'[18]Table 4 Level 3'!P13</f>
        <v>725.76</v>
      </c>
      <c r="J13" s="167">
        <f t="shared" si="4"/>
        <v>5015.2673606712333</v>
      </c>
      <c r="K13" s="165">
        <f t="shared" si="5"/>
        <v>2191671.8366133291</v>
      </c>
      <c r="L13" s="167">
        <f t="shared" si="6"/>
        <v>2191671.8366133291</v>
      </c>
      <c r="M13" s="167">
        <f t="shared" si="7"/>
        <v>0</v>
      </c>
    </row>
    <row r="14" spans="1:13" ht="15" hidden="1" thickBot="1">
      <c r="A14" s="402">
        <v>9</v>
      </c>
      <c r="B14" s="161" t="s">
        <v>171</v>
      </c>
      <c r="C14" s="176">
        <f>'[16]2-1-13 SIS'!C15+'[16]2-1-13 SIS'!R15</f>
        <v>40069</v>
      </c>
      <c r="D14" s="166">
        <f>'[17]10.1.13 ALL'!C14</f>
        <v>39972</v>
      </c>
      <c r="E14" s="163">
        <f t="shared" si="1"/>
        <v>-97</v>
      </c>
      <c r="F14" s="163">
        <f t="shared" si="2"/>
        <v>0</v>
      </c>
      <c r="G14" s="163">
        <f t="shared" si="3"/>
        <v>-97</v>
      </c>
      <c r="H14" s="177">
        <f>'[18]Table 3 Levels 1&amp;2'!AL16</f>
        <v>4395.6154516889328</v>
      </c>
      <c r="I14" s="177">
        <f>'[18]Table 4 Level 3'!P14</f>
        <v>744.76</v>
      </c>
      <c r="J14" s="167">
        <f t="shared" si="4"/>
        <v>5140.375451688933</v>
      </c>
      <c r="K14" s="165">
        <f t="shared" si="5"/>
        <v>-498616.41881382652</v>
      </c>
      <c r="L14" s="178">
        <f t="shared" si="6"/>
        <v>0</v>
      </c>
      <c r="M14" s="178">
        <f t="shared" si="7"/>
        <v>-498616.41881382652</v>
      </c>
    </row>
    <row r="15" spans="1:13" ht="15" hidden="1" thickBot="1">
      <c r="A15" s="403">
        <v>10</v>
      </c>
      <c r="B15" s="169" t="s">
        <v>172</v>
      </c>
      <c r="C15" s="170">
        <f>'[16]2-1-13 SIS'!C16+'[16]2-1-13 SIS'!R16</f>
        <v>30658</v>
      </c>
      <c r="D15" s="170">
        <f>'[17]10.1.13 ALL'!C15</f>
        <v>30778</v>
      </c>
      <c r="E15" s="172">
        <f t="shared" si="1"/>
        <v>120</v>
      </c>
      <c r="F15" s="172">
        <f t="shared" si="2"/>
        <v>120</v>
      </c>
      <c r="G15" s="172">
        <f t="shared" si="3"/>
        <v>0</v>
      </c>
      <c r="H15" s="174">
        <f>'[18]Table 3 Levels 1&amp;2'!AL17</f>
        <v>4253.5980618992444</v>
      </c>
      <c r="I15" s="174">
        <f>'[18]Table 4 Level 3'!P15</f>
        <v>608.04000000000008</v>
      </c>
      <c r="J15" s="174">
        <f t="shared" si="4"/>
        <v>4861.6380618992443</v>
      </c>
      <c r="K15" s="175">
        <f t="shared" si="5"/>
        <v>583396.56742790935</v>
      </c>
      <c r="L15" s="179">
        <f t="shared" si="6"/>
        <v>583396.56742790935</v>
      </c>
      <c r="M15" s="179">
        <f t="shared" si="7"/>
        <v>0</v>
      </c>
    </row>
    <row r="16" spans="1:13" ht="15" hidden="1" thickBot="1">
      <c r="A16" s="402">
        <v>11</v>
      </c>
      <c r="B16" s="161" t="s">
        <v>173</v>
      </c>
      <c r="C16" s="166">
        <f>'[16]2-1-13 SIS'!C17+'[16]2-1-13 SIS'!R17</f>
        <v>1543</v>
      </c>
      <c r="D16" s="162">
        <f>'[17]10.1.13 ALL'!C16</f>
        <v>1571</v>
      </c>
      <c r="E16" s="163">
        <f t="shared" si="1"/>
        <v>28</v>
      </c>
      <c r="F16" s="163">
        <f t="shared" si="2"/>
        <v>28</v>
      </c>
      <c r="G16" s="163">
        <f t="shared" si="3"/>
        <v>0</v>
      </c>
      <c r="H16" s="164">
        <f>'[18]Table 3 Levels 1&amp;2'!AL18</f>
        <v>6852.9138435383502</v>
      </c>
      <c r="I16" s="164">
        <f>'[18]Table 4 Level 3'!P16</f>
        <v>706.55</v>
      </c>
      <c r="J16" s="164">
        <f t="shared" si="4"/>
        <v>7559.4638435383504</v>
      </c>
      <c r="K16" s="165">
        <f t="shared" si="5"/>
        <v>211664.9876190738</v>
      </c>
      <c r="L16" s="178">
        <f t="shared" si="6"/>
        <v>211664.9876190738</v>
      </c>
      <c r="M16" s="178">
        <f t="shared" si="7"/>
        <v>0</v>
      </c>
    </row>
    <row r="17" spans="1:13" ht="15" hidden="1" thickBot="1">
      <c r="A17" s="402">
        <v>12</v>
      </c>
      <c r="B17" s="161" t="s">
        <v>174</v>
      </c>
      <c r="C17" s="166">
        <f>'[16]2-1-13 SIS'!C18+'[16]2-1-13 SIS'!R18</f>
        <v>1212</v>
      </c>
      <c r="D17" s="162">
        <f>'[17]10.1.13 ALL'!C17</f>
        <v>1235</v>
      </c>
      <c r="E17" s="163">
        <f t="shared" si="1"/>
        <v>23</v>
      </c>
      <c r="F17" s="163">
        <f t="shared" si="2"/>
        <v>23</v>
      </c>
      <c r="G17" s="163">
        <f t="shared" si="3"/>
        <v>0</v>
      </c>
      <c r="H17" s="164">
        <f>'[18]Table 3 Levels 1&amp;2'!AL19</f>
        <v>1733.9056059356967</v>
      </c>
      <c r="I17" s="164">
        <f>'[18]Table 4 Level 3'!P17</f>
        <v>1063.31</v>
      </c>
      <c r="J17" s="164">
        <f t="shared" si="4"/>
        <v>2797.2156059356967</v>
      </c>
      <c r="K17" s="165">
        <f t="shared" si="5"/>
        <v>64335.958936521027</v>
      </c>
      <c r="L17" s="178">
        <f t="shared" si="6"/>
        <v>64335.958936521027</v>
      </c>
      <c r="M17" s="178">
        <f t="shared" si="7"/>
        <v>0</v>
      </c>
    </row>
    <row r="18" spans="1:13" ht="15" hidden="1" thickBot="1">
      <c r="A18" s="402">
        <v>13</v>
      </c>
      <c r="B18" s="161" t="s">
        <v>175</v>
      </c>
      <c r="C18" s="166">
        <f>'[16]2-1-13 SIS'!C19+'[16]2-1-13 SIS'!R19</f>
        <v>1503</v>
      </c>
      <c r="D18" s="166">
        <f>'[17]10.1.13 ALL'!C18</f>
        <v>1443</v>
      </c>
      <c r="E18" s="163">
        <f t="shared" si="1"/>
        <v>-60</v>
      </c>
      <c r="F18" s="163">
        <f t="shared" si="2"/>
        <v>0</v>
      </c>
      <c r="G18" s="163">
        <f t="shared" si="3"/>
        <v>-60</v>
      </c>
      <c r="H18" s="167">
        <f>'[18]Table 3 Levels 1&amp;2'!AL20</f>
        <v>6254.1238637730876</v>
      </c>
      <c r="I18" s="167">
        <f>'[18]Table 4 Level 3'!P18</f>
        <v>749.43000000000006</v>
      </c>
      <c r="J18" s="167">
        <f t="shared" si="4"/>
        <v>7003.5538637730879</v>
      </c>
      <c r="K18" s="165">
        <f t="shared" si="5"/>
        <v>-420213.23182638525</v>
      </c>
      <c r="L18" s="178">
        <f t="shared" si="6"/>
        <v>0</v>
      </c>
      <c r="M18" s="178">
        <f t="shared" si="7"/>
        <v>-420213.23182638525</v>
      </c>
    </row>
    <row r="19" spans="1:13" ht="15" hidden="1" thickBot="1">
      <c r="A19" s="402">
        <v>14</v>
      </c>
      <c r="B19" s="161" t="s">
        <v>176</v>
      </c>
      <c r="C19" s="166">
        <f>'[16]2-1-13 SIS'!C20+'[16]2-1-13 SIS'!R20</f>
        <v>1856</v>
      </c>
      <c r="D19" s="166">
        <f>'[17]10.1.13 ALL'!C19</f>
        <v>1665</v>
      </c>
      <c r="E19" s="163">
        <f t="shared" si="1"/>
        <v>-191</v>
      </c>
      <c r="F19" s="163">
        <f t="shared" si="2"/>
        <v>0</v>
      </c>
      <c r="G19" s="163">
        <f t="shared" si="3"/>
        <v>-191</v>
      </c>
      <c r="H19" s="167">
        <f>'[18]Table 3 Levels 1&amp;2'!AL21</f>
        <v>5377.9187438545459</v>
      </c>
      <c r="I19" s="167">
        <f>'[18]Table 4 Level 3'!P19</f>
        <v>809.9799999999999</v>
      </c>
      <c r="J19" s="167">
        <f t="shared" si="4"/>
        <v>6187.8987438545455</v>
      </c>
      <c r="K19" s="165">
        <f t="shared" si="5"/>
        <v>-1181888.6600762182</v>
      </c>
      <c r="L19" s="178">
        <f t="shared" si="6"/>
        <v>0</v>
      </c>
      <c r="M19" s="178">
        <f t="shared" si="7"/>
        <v>-1181888.6600762182</v>
      </c>
    </row>
    <row r="20" spans="1:13" ht="15" hidden="1" thickBot="1">
      <c r="A20" s="403">
        <v>15</v>
      </c>
      <c r="B20" s="169" t="s">
        <v>177</v>
      </c>
      <c r="C20" s="170">
        <f>'[16]2-1-13 SIS'!C21+'[16]2-1-13 SIS'!R21</f>
        <v>3620</v>
      </c>
      <c r="D20" s="170">
        <f>'[17]10.1.13 ALL'!C20</f>
        <v>3416</v>
      </c>
      <c r="E20" s="172">
        <f t="shared" si="1"/>
        <v>-204</v>
      </c>
      <c r="F20" s="172">
        <f t="shared" si="2"/>
        <v>0</v>
      </c>
      <c r="G20" s="172">
        <f t="shared" si="3"/>
        <v>-204</v>
      </c>
      <c r="H20" s="174">
        <f>'[18]Table 3 Levels 1&amp;2'!AL22</f>
        <v>5527.7651197617861</v>
      </c>
      <c r="I20" s="174">
        <f>'[18]Table 4 Level 3'!P20</f>
        <v>553.79999999999995</v>
      </c>
      <c r="J20" s="174">
        <f t="shared" si="4"/>
        <v>6081.5651197617863</v>
      </c>
      <c r="K20" s="175">
        <f t="shared" si="5"/>
        <v>-1240639.2844314044</v>
      </c>
      <c r="L20" s="179">
        <f t="shared" si="6"/>
        <v>0</v>
      </c>
      <c r="M20" s="179">
        <f t="shared" si="7"/>
        <v>-1240639.2844314044</v>
      </c>
    </row>
    <row r="21" spans="1:13" ht="15" hidden="1" thickBot="1">
      <c r="A21" s="402">
        <v>16</v>
      </c>
      <c r="B21" s="161" t="s">
        <v>178</v>
      </c>
      <c r="C21" s="180">
        <f>'[16]2-1-13 SIS'!C22+'[16]2-1-13 SIS'!R22</f>
        <v>4937</v>
      </c>
      <c r="D21" s="162">
        <f>'[17]10.1.13 ALL'!C21</f>
        <v>4880</v>
      </c>
      <c r="E21" s="163">
        <f t="shared" si="1"/>
        <v>-57</v>
      </c>
      <c r="F21" s="163">
        <f t="shared" si="2"/>
        <v>0</v>
      </c>
      <c r="G21" s="163">
        <f t="shared" si="3"/>
        <v>-57</v>
      </c>
      <c r="H21" s="164">
        <f>'[18]Table 3 Levels 1&amp;2'!AL23</f>
        <v>1530.3678845377474</v>
      </c>
      <c r="I21" s="164">
        <f>'[18]Table 4 Level 3'!P21</f>
        <v>686.73</v>
      </c>
      <c r="J21" s="164">
        <f t="shared" si="4"/>
        <v>2217.0978845377476</v>
      </c>
      <c r="K21" s="165">
        <f t="shared" si="5"/>
        <v>-126374.57941865161</v>
      </c>
      <c r="L21" s="178">
        <f t="shared" si="6"/>
        <v>0</v>
      </c>
      <c r="M21" s="178">
        <f t="shared" si="7"/>
        <v>-126374.57941865161</v>
      </c>
    </row>
    <row r="22" spans="1:13" ht="15" hidden="1" thickBot="1">
      <c r="A22" s="402">
        <v>17</v>
      </c>
      <c r="B22" s="161" t="s">
        <v>179</v>
      </c>
      <c r="C22" s="176">
        <f>'[16]2-1-13 SIS'!C23+'[16]2-1-13 SIS'!R23</f>
        <v>40427</v>
      </c>
      <c r="D22" s="166">
        <f>'[17]10.1.13 ALL'!C22</f>
        <v>40241</v>
      </c>
      <c r="E22" s="163">
        <f t="shared" si="1"/>
        <v>-186</v>
      </c>
      <c r="F22" s="163">
        <f t="shared" si="2"/>
        <v>0</v>
      </c>
      <c r="G22" s="163">
        <f t="shared" si="3"/>
        <v>-186</v>
      </c>
      <c r="H22" s="177">
        <f>'[18]Table 3 Levels 1&amp;2'!AL24</f>
        <v>3313.0666313017805</v>
      </c>
      <c r="I22" s="177">
        <f>'[18]Table 4 Level 3'!P22</f>
        <v>801.47762416806802</v>
      </c>
      <c r="J22" s="167">
        <f t="shared" si="4"/>
        <v>4114.5442554698484</v>
      </c>
      <c r="K22" s="165">
        <f t="shared" si="5"/>
        <v>-765305.23151739175</v>
      </c>
      <c r="L22" s="178">
        <f t="shared" si="6"/>
        <v>0</v>
      </c>
      <c r="M22" s="178">
        <f t="shared" si="7"/>
        <v>-765305.23151739175</v>
      </c>
    </row>
    <row r="23" spans="1:13" ht="15" hidden="1" thickBot="1">
      <c r="A23" s="402">
        <v>18</v>
      </c>
      <c r="B23" s="161" t="s">
        <v>180</v>
      </c>
      <c r="C23" s="166">
        <f>'[16]2-1-13 SIS'!C24+'[16]2-1-13 SIS'!R24</f>
        <v>1113</v>
      </c>
      <c r="D23" s="166">
        <f>'[17]10.1.13 ALL'!C23</f>
        <v>1066</v>
      </c>
      <c r="E23" s="163">
        <f t="shared" si="1"/>
        <v>-47</v>
      </c>
      <c r="F23" s="163">
        <f t="shared" si="2"/>
        <v>0</v>
      </c>
      <c r="G23" s="163">
        <f t="shared" si="3"/>
        <v>-47</v>
      </c>
      <c r="H23" s="167">
        <f>'[18]Table 3 Levels 1&amp;2'!AL25</f>
        <v>5989.1351892854573</v>
      </c>
      <c r="I23" s="167">
        <f>'[18]Table 4 Level 3'!P23</f>
        <v>845.94999999999993</v>
      </c>
      <c r="J23" s="167">
        <f t="shared" si="4"/>
        <v>6835.0851892854571</v>
      </c>
      <c r="K23" s="165">
        <f t="shared" si="5"/>
        <v>-321249.00389641646</v>
      </c>
      <c r="L23" s="178">
        <f t="shared" si="6"/>
        <v>0</v>
      </c>
      <c r="M23" s="178">
        <f t="shared" si="7"/>
        <v>-321249.00389641646</v>
      </c>
    </row>
    <row r="24" spans="1:13" ht="15" hidden="1" thickBot="1">
      <c r="A24" s="402">
        <v>19</v>
      </c>
      <c r="B24" s="161" t="s">
        <v>181</v>
      </c>
      <c r="C24" s="166">
        <f>'[16]2-1-13 SIS'!C25+'[16]2-1-13 SIS'!R25</f>
        <v>1907</v>
      </c>
      <c r="D24" s="166">
        <f>'[17]10.1.13 ALL'!C24</f>
        <v>1885</v>
      </c>
      <c r="E24" s="163">
        <f t="shared" si="1"/>
        <v>-22</v>
      </c>
      <c r="F24" s="163">
        <f t="shared" si="2"/>
        <v>0</v>
      </c>
      <c r="G24" s="163">
        <f t="shared" si="3"/>
        <v>-22</v>
      </c>
      <c r="H24" s="167">
        <f>'[18]Table 3 Levels 1&amp;2'!AL26</f>
        <v>5315.8913399708035</v>
      </c>
      <c r="I24" s="167">
        <f>'[18]Table 4 Level 3'!P24</f>
        <v>905.43</v>
      </c>
      <c r="J24" s="167">
        <f t="shared" si="4"/>
        <v>6221.3213399708038</v>
      </c>
      <c r="K24" s="165">
        <f t="shared" si="5"/>
        <v>-136869.06947935768</v>
      </c>
      <c r="L24" s="178">
        <f t="shared" si="6"/>
        <v>0</v>
      </c>
      <c r="M24" s="178">
        <f t="shared" si="7"/>
        <v>-136869.06947935768</v>
      </c>
    </row>
    <row r="25" spans="1:13" ht="15" hidden="1" thickBot="1">
      <c r="A25" s="403">
        <v>20</v>
      </c>
      <c r="B25" s="169" t="s">
        <v>182</v>
      </c>
      <c r="C25" s="170">
        <f>'[16]2-1-13 SIS'!C26+'[16]2-1-13 SIS'!R26</f>
        <v>5883</v>
      </c>
      <c r="D25" s="170">
        <f>'[17]10.1.13 ALL'!C25</f>
        <v>5925</v>
      </c>
      <c r="E25" s="172">
        <f t="shared" si="1"/>
        <v>42</v>
      </c>
      <c r="F25" s="172">
        <f t="shared" si="2"/>
        <v>42</v>
      </c>
      <c r="G25" s="172">
        <f t="shared" si="3"/>
        <v>0</v>
      </c>
      <c r="H25" s="174">
        <f>'[18]Table 3 Levels 1&amp;2'!AL27</f>
        <v>5420.2042919205833</v>
      </c>
      <c r="I25" s="174">
        <f>'[18]Table 4 Level 3'!P25</f>
        <v>586.16999999999996</v>
      </c>
      <c r="J25" s="174">
        <f t="shared" si="4"/>
        <v>6006.3742919205833</v>
      </c>
      <c r="K25" s="175">
        <f t="shared" si="5"/>
        <v>252267.7202606645</v>
      </c>
      <c r="L25" s="179">
        <f t="shared" si="6"/>
        <v>252267.7202606645</v>
      </c>
      <c r="M25" s="179">
        <f t="shared" si="7"/>
        <v>0</v>
      </c>
    </row>
    <row r="26" spans="1:13" ht="15" hidden="1" thickBot="1">
      <c r="A26" s="402">
        <v>21</v>
      </c>
      <c r="B26" s="161" t="s">
        <v>183</v>
      </c>
      <c r="C26" s="166">
        <f>'[16]2-1-13 SIS'!C27+'[16]2-1-13 SIS'!R27</f>
        <v>2954</v>
      </c>
      <c r="D26" s="162">
        <f>'[17]10.1.13 ALL'!C26</f>
        <v>2906</v>
      </c>
      <c r="E26" s="163">
        <f t="shared" si="1"/>
        <v>-48</v>
      </c>
      <c r="F26" s="163">
        <f t="shared" si="2"/>
        <v>0</v>
      </c>
      <c r="G26" s="163">
        <f t="shared" si="3"/>
        <v>-48</v>
      </c>
      <c r="H26" s="164">
        <f>'[18]Table 3 Levels 1&amp;2'!AL28</f>
        <v>5724.5404916279067</v>
      </c>
      <c r="I26" s="164">
        <f>'[18]Table 4 Level 3'!P26</f>
        <v>610.35</v>
      </c>
      <c r="J26" s="164">
        <f t="shared" si="4"/>
        <v>6334.8904916279071</v>
      </c>
      <c r="K26" s="165">
        <f t="shared" si="5"/>
        <v>-304074.74359813955</v>
      </c>
      <c r="L26" s="178">
        <f t="shared" si="6"/>
        <v>0</v>
      </c>
      <c r="M26" s="178">
        <f t="shared" si="7"/>
        <v>-304074.74359813955</v>
      </c>
    </row>
    <row r="27" spans="1:13" ht="15" hidden="1" thickBot="1">
      <c r="A27" s="402">
        <v>22</v>
      </c>
      <c r="B27" s="161" t="s">
        <v>184</v>
      </c>
      <c r="C27" s="166">
        <f>'[16]2-1-13 SIS'!C28+'[16]2-1-13 SIS'!R28</f>
        <v>3203</v>
      </c>
      <c r="D27" s="162">
        <f>'[17]10.1.13 ALL'!C27</f>
        <v>3130</v>
      </c>
      <c r="E27" s="163">
        <f t="shared" si="1"/>
        <v>-73</v>
      </c>
      <c r="F27" s="163">
        <f t="shared" si="2"/>
        <v>0</v>
      </c>
      <c r="G27" s="163">
        <f t="shared" si="3"/>
        <v>-73</v>
      </c>
      <c r="H27" s="164">
        <f>'[18]Table 3 Levels 1&amp;2'!AL29</f>
        <v>6203.2933768722742</v>
      </c>
      <c r="I27" s="164">
        <f>'[18]Table 4 Level 3'!P27</f>
        <v>496.36</v>
      </c>
      <c r="J27" s="164">
        <f t="shared" si="4"/>
        <v>6699.6533768722738</v>
      </c>
      <c r="K27" s="165">
        <f t="shared" si="5"/>
        <v>-489074.69651167601</v>
      </c>
      <c r="L27" s="178">
        <f t="shared" si="6"/>
        <v>0</v>
      </c>
      <c r="M27" s="178">
        <f t="shared" si="7"/>
        <v>-489074.69651167601</v>
      </c>
    </row>
    <row r="28" spans="1:13" ht="15" hidden="1" thickBot="1">
      <c r="A28" s="402">
        <v>23</v>
      </c>
      <c r="B28" s="161" t="s">
        <v>185</v>
      </c>
      <c r="C28" s="166">
        <f>'[16]2-1-13 SIS'!C29+'[16]2-1-13 SIS'!R29</f>
        <v>13398</v>
      </c>
      <c r="D28" s="166">
        <f>'[17]10.1.13 ALL'!C28</f>
        <v>13615</v>
      </c>
      <c r="E28" s="163">
        <f t="shared" si="1"/>
        <v>217</v>
      </c>
      <c r="F28" s="163">
        <f t="shared" si="2"/>
        <v>217</v>
      </c>
      <c r="G28" s="163">
        <f t="shared" si="3"/>
        <v>0</v>
      </c>
      <c r="H28" s="167">
        <f>'[18]Table 3 Levels 1&amp;2'!AL30</f>
        <v>4846.0802490067681</v>
      </c>
      <c r="I28" s="167">
        <f>'[18]Table 4 Level 3'!P28</f>
        <v>688.58</v>
      </c>
      <c r="J28" s="167">
        <f t="shared" si="4"/>
        <v>5534.660249006768</v>
      </c>
      <c r="K28" s="165">
        <f t="shared" si="5"/>
        <v>1201021.2740344687</v>
      </c>
      <c r="L28" s="178">
        <f t="shared" si="6"/>
        <v>1201021.2740344687</v>
      </c>
      <c r="M28" s="178">
        <f t="shared" si="7"/>
        <v>0</v>
      </c>
    </row>
    <row r="29" spans="1:13" ht="15" hidden="1" thickBot="1">
      <c r="A29" s="402">
        <v>24</v>
      </c>
      <c r="B29" s="161" t="s">
        <v>186</v>
      </c>
      <c r="C29" s="166">
        <f>'[16]2-1-13 SIS'!C30+'[16]2-1-13 SIS'!R30</f>
        <v>4501</v>
      </c>
      <c r="D29" s="166">
        <f>'[17]10.1.13 ALL'!C29</f>
        <v>4571</v>
      </c>
      <c r="E29" s="163">
        <f t="shared" si="1"/>
        <v>70</v>
      </c>
      <c r="F29" s="163">
        <f t="shared" si="2"/>
        <v>70</v>
      </c>
      <c r="G29" s="163">
        <f t="shared" si="3"/>
        <v>0</v>
      </c>
      <c r="H29" s="167">
        <f>'[18]Table 3 Levels 1&amp;2'!AL31</f>
        <v>2764.1216755319151</v>
      </c>
      <c r="I29" s="167">
        <f>'[18]Table 4 Level 3'!P29</f>
        <v>854.24999999999989</v>
      </c>
      <c r="J29" s="167">
        <f t="shared" si="4"/>
        <v>3618.3716755319151</v>
      </c>
      <c r="K29" s="165">
        <f t="shared" si="5"/>
        <v>253286.01728723405</v>
      </c>
      <c r="L29" s="178">
        <f t="shared" si="6"/>
        <v>253286.01728723405</v>
      </c>
      <c r="M29" s="178">
        <f t="shared" si="7"/>
        <v>0</v>
      </c>
    </row>
    <row r="30" spans="1:13" ht="15" hidden="1" thickBot="1">
      <c r="A30" s="403">
        <v>25</v>
      </c>
      <c r="B30" s="169" t="s">
        <v>187</v>
      </c>
      <c r="C30" s="170">
        <f>'[16]2-1-13 SIS'!C31+'[16]2-1-13 SIS'!R31</f>
        <v>2218</v>
      </c>
      <c r="D30" s="170">
        <f>'[17]10.1.13 ALL'!C30</f>
        <v>2276</v>
      </c>
      <c r="E30" s="172">
        <f t="shared" si="1"/>
        <v>58</v>
      </c>
      <c r="F30" s="172">
        <f t="shared" si="2"/>
        <v>58</v>
      </c>
      <c r="G30" s="172">
        <f t="shared" si="3"/>
        <v>0</v>
      </c>
      <c r="H30" s="174">
        <f>'[18]Table 3 Levels 1&amp;2'!AL32</f>
        <v>3867.4480692053257</v>
      </c>
      <c r="I30" s="174">
        <f>'[18]Table 4 Level 3'!P30</f>
        <v>653.73</v>
      </c>
      <c r="J30" s="174">
        <f t="shared" si="4"/>
        <v>4521.1780692053253</v>
      </c>
      <c r="K30" s="175">
        <f t="shared" si="5"/>
        <v>262228.32801390887</v>
      </c>
      <c r="L30" s="179">
        <f t="shared" si="6"/>
        <v>262228.32801390887</v>
      </c>
      <c r="M30" s="179">
        <f t="shared" si="7"/>
        <v>0</v>
      </c>
    </row>
    <row r="31" spans="1:13" ht="15" hidden="1" thickBot="1">
      <c r="A31" s="402">
        <v>26</v>
      </c>
      <c r="B31" s="161" t="s">
        <v>188</v>
      </c>
      <c r="C31" s="166">
        <f>'[16]2-1-13 SIS'!C32+'[16]2-1-13 SIS'!R32</f>
        <v>43595</v>
      </c>
      <c r="D31" s="162">
        <f>'[17]10.1.13 ALL'!C31</f>
        <v>44610</v>
      </c>
      <c r="E31" s="163">
        <f t="shared" si="1"/>
        <v>1015</v>
      </c>
      <c r="F31" s="163">
        <f t="shared" si="2"/>
        <v>1015</v>
      </c>
      <c r="G31" s="163">
        <f t="shared" si="3"/>
        <v>0</v>
      </c>
      <c r="H31" s="164">
        <f>'[18]Table 3 Levels 1&amp;2'!AL33</f>
        <v>3293.481526790355</v>
      </c>
      <c r="I31" s="164">
        <f>'[18]Table 4 Level 3'!P31</f>
        <v>836.83</v>
      </c>
      <c r="J31" s="164">
        <f t="shared" si="4"/>
        <v>4130.3115267903549</v>
      </c>
      <c r="K31" s="165">
        <f t="shared" si="5"/>
        <v>4192266.1996922102</v>
      </c>
      <c r="L31" s="178">
        <f t="shared" si="6"/>
        <v>4192266.1996922102</v>
      </c>
      <c r="M31" s="178">
        <f t="shared" si="7"/>
        <v>0</v>
      </c>
    </row>
    <row r="32" spans="1:13" ht="14.25" hidden="1">
      <c r="A32" s="402">
        <v>27</v>
      </c>
      <c r="B32" s="161" t="s">
        <v>189</v>
      </c>
      <c r="C32" s="166">
        <f>'[16]2-1-13 SIS'!C33+'[16]2-1-13 SIS'!R33</f>
        <v>5596</v>
      </c>
      <c r="D32" s="162">
        <f>'[17]10.1.13 ALL'!C32</f>
        <v>5630</v>
      </c>
      <c r="E32" s="163">
        <f t="shared" si="1"/>
        <v>34</v>
      </c>
      <c r="F32" s="163">
        <f t="shared" si="2"/>
        <v>34</v>
      </c>
      <c r="G32" s="163">
        <f t="shared" si="3"/>
        <v>0</v>
      </c>
      <c r="H32" s="164">
        <f>'[18]Table 3 Levels 1&amp;2'!AL34</f>
        <v>5680.7727517381973</v>
      </c>
      <c r="I32" s="164">
        <f>'[18]Table 4 Level 3'!P32</f>
        <v>693.06</v>
      </c>
      <c r="J32" s="164">
        <f t="shared" si="4"/>
        <v>6373.8327517381967</v>
      </c>
      <c r="K32" s="165">
        <f t="shared" si="5"/>
        <v>216710.31355909869</v>
      </c>
      <c r="L32" s="178">
        <f t="shared" si="6"/>
        <v>216710.31355909869</v>
      </c>
      <c r="M32" s="178">
        <f t="shared" si="7"/>
        <v>0</v>
      </c>
    </row>
    <row r="33" spans="1:13" ht="14.25" hidden="1">
      <c r="A33" s="402">
        <v>28</v>
      </c>
      <c r="B33" s="161" t="s">
        <v>190</v>
      </c>
      <c r="C33" s="166">
        <f>'[16]2-1-13 SIS'!C34+'[16]2-1-13 SIS'!R34</f>
        <v>29925</v>
      </c>
      <c r="D33" s="166">
        <f>'[17]10.1.13 ALL'!C33</f>
        <v>30216</v>
      </c>
      <c r="E33" s="163">
        <f t="shared" si="1"/>
        <v>291</v>
      </c>
      <c r="F33" s="163">
        <f t="shared" si="2"/>
        <v>291</v>
      </c>
      <c r="G33" s="163">
        <f t="shared" si="3"/>
        <v>0</v>
      </c>
      <c r="H33" s="167">
        <f>'[18]Table 3 Levels 1&amp;2'!AL35</f>
        <v>3163.1694438483169</v>
      </c>
      <c r="I33" s="167">
        <f>'[18]Table 4 Level 3'!P33</f>
        <v>694.4</v>
      </c>
      <c r="J33" s="167">
        <f t="shared" si="4"/>
        <v>3857.569443848317</v>
      </c>
      <c r="K33" s="165">
        <f t="shared" si="5"/>
        <v>1122552.7081598602</v>
      </c>
      <c r="L33" s="178">
        <f t="shared" si="6"/>
        <v>1122552.7081598602</v>
      </c>
      <c r="M33" s="178">
        <f t="shared" si="7"/>
        <v>0</v>
      </c>
    </row>
    <row r="34" spans="1:13" ht="14.25" hidden="1">
      <c r="A34" s="402">
        <v>29</v>
      </c>
      <c r="B34" s="161" t="s">
        <v>191</v>
      </c>
      <c r="C34" s="166">
        <f>'[16]2-1-13 SIS'!C35+'[16]2-1-13 SIS'!R35</f>
        <v>13659</v>
      </c>
      <c r="D34" s="166">
        <f>'[17]10.1.13 ALL'!C34</f>
        <v>13923</v>
      </c>
      <c r="E34" s="163">
        <f t="shared" si="1"/>
        <v>264</v>
      </c>
      <c r="F34" s="163">
        <f t="shared" si="2"/>
        <v>264</v>
      </c>
      <c r="G34" s="163">
        <f t="shared" si="3"/>
        <v>0</v>
      </c>
      <c r="H34" s="167">
        <f>'[18]Table 3 Levels 1&amp;2'!AL36</f>
        <v>3952.5586133052648</v>
      </c>
      <c r="I34" s="167">
        <f>'[18]Table 4 Level 3'!P34</f>
        <v>754.94999999999993</v>
      </c>
      <c r="J34" s="167">
        <f t="shared" si="4"/>
        <v>4707.5086133052646</v>
      </c>
      <c r="K34" s="165">
        <f t="shared" si="5"/>
        <v>1242782.2739125898</v>
      </c>
      <c r="L34" s="178">
        <f t="shared" si="6"/>
        <v>1242782.2739125898</v>
      </c>
      <c r="M34" s="178">
        <f t="shared" si="7"/>
        <v>0</v>
      </c>
    </row>
    <row r="35" spans="1:13" ht="14.25" hidden="1">
      <c r="A35" s="403">
        <v>30</v>
      </c>
      <c r="B35" s="169" t="s">
        <v>192</v>
      </c>
      <c r="C35" s="170">
        <f>'[16]2-1-13 SIS'!C36+'[16]2-1-13 SIS'!R36</f>
        <v>2470</v>
      </c>
      <c r="D35" s="170">
        <f>'[17]10.1.13 ALL'!C35</f>
        <v>2503</v>
      </c>
      <c r="E35" s="172">
        <f t="shared" si="1"/>
        <v>33</v>
      </c>
      <c r="F35" s="172">
        <f t="shared" si="2"/>
        <v>33</v>
      </c>
      <c r="G35" s="172">
        <f t="shared" si="3"/>
        <v>0</v>
      </c>
      <c r="H35" s="174">
        <f>'[18]Table 3 Levels 1&amp;2'!AL37</f>
        <v>5648.6510465852989</v>
      </c>
      <c r="I35" s="174">
        <f>'[18]Table 4 Level 3'!P35</f>
        <v>727.17</v>
      </c>
      <c r="J35" s="174">
        <f t="shared" si="4"/>
        <v>6375.821046585299</v>
      </c>
      <c r="K35" s="175">
        <f t="shared" si="5"/>
        <v>210402.09453731487</v>
      </c>
      <c r="L35" s="179">
        <f t="shared" si="6"/>
        <v>210402.09453731487</v>
      </c>
      <c r="M35" s="179">
        <f t="shared" si="7"/>
        <v>0</v>
      </c>
    </row>
    <row r="36" spans="1:13" ht="14.25" hidden="1">
      <c r="A36" s="402">
        <v>31</v>
      </c>
      <c r="B36" s="161" t="s">
        <v>193</v>
      </c>
      <c r="C36" s="166">
        <f>'[16]2-1-13 SIS'!C37+'[16]2-1-13 SIS'!R37</f>
        <v>6391</v>
      </c>
      <c r="D36" s="162">
        <f>'[17]10.1.13 ALL'!C36</f>
        <v>6387</v>
      </c>
      <c r="E36" s="163">
        <f t="shared" si="1"/>
        <v>-4</v>
      </c>
      <c r="F36" s="163">
        <f t="shared" si="2"/>
        <v>0</v>
      </c>
      <c r="G36" s="163">
        <f t="shared" si="3"/>
        <v>-4</v>
      </c>
      <c r="H36" s="164">
        <f>'[18]Table 3 Levels 1&amp;2'!AL38</f>
        <v>4348.9307899232972</v>
      </c>
      <c r="I36" s="164">
        <f>'[18]Table 4 Level 3'!P36</f>
        <v>620.83000000000004</v>
      </c>
      <c r="J36" s="164">
        <f t="shared" si="4"/>
        <v>4969.7607899232971</v>
      </c>
      <c r="K36" s="165">
        <f t="shared" si="5"/>
        <v>-19879.043159693188</v>
      </c>
      <c r="L36" s="178">
        <f t="shared" si="6"/>
        <v>0</v>
      </c>
      <c r="M36" s="178">
        <f t="shared" si="7"/>
        <v>-19879.043159693188</v>
      </c>
    </row>
    <row r="37" spans="1:13" ht="14.25" hidden="1">
      <c r="A37" s="402">
        <v>32</v>
      </c>
      <c r="B37" s="161" t="s">
        <v>194</v>
      </c>
      <c r="C37" s="166">
        <f>'[16]2-1-13 SIS'!C38+'[16]2-1-13 SIS'!R38</f>
        <v>24707</v>
      </c>
      <c r="D37" s="162">
        <f>'[17]10.1.13 ALL'!C37</f>
        <v>25191</v>
      </c>
      <c r="E37" s="163">
        <f t="shared" si="1"/>
        <v>484</v>
      </c>
      <c r="F37" s="163">
        <f t="shared" si="2"/>
        <v>484</v>
      </c>
      <c r="G37" s="163">
        <f t="shared" si="3"/>
        <v>0</v>
      </c>
      <c r="H37" s="164">
        <f>'[18]Table 3 Levels 1&amp;2'!AL39</f>
        <v>5531.5157655456787</v>
      </c>
      <c r="I37" s="164">
        <f>'[18]Table 4 Level 3'!P37</f>
        <v>559.77</v>
      </c>
      <c r="J37" s="164">
        <f t="shared" si="4"/>
        <v>6091.2857655456792</v>
      </c>
      <c r="K37" s="165">
        <f t="shared" si="5"/>
        <v>2948182.3105241088</v>
      </c>
      <c r="L37" s="178">
        <f t="shared" si="6"/>
        <v>2948182.3105241088</v>
      </c>
      <c r="M37" s="178">
        <f t="shared" si="7"/>
        <v>0</v>
      </c>
    </row>
    <row r="38" spans="1:13" ht="14.25" hidden="1">
      <c r="A38" s="402">
        <v>33</v>
      </c>
      <c r="B38" s="161" t="s">
        <v>195</v>
      </c>
      <c r="C38" s="166">
        <f>'[16]2-1-13 SIS'!C39+'[16]2-1-13 SIS'!R39</f>
        <v>1786</v>
      </c>
      <c r="D38" s="166">
        <f>'[17]10.1.13 ALL'!C38</f>
        <v>1428</v>
      </c>
      <c r="E38" s="163">
        <f t="shared" si="1"/>
        <v>-358</v>
      </c>
      <c r="F38" s="163">
        <f t="shared" si="2"/>
        <v>0</v>
      </c>
      <c r="G38" s="163">
        <f t="shared" si="3"/>
        <v>-358</v>
      </c>
      <c r="H38" s="167">
        <f>'[18]Table 3 Levels 1&amp;2'!AL40</f>
        <v>5329.5444226517857</v>
      </c>
      <c r="I38" s="167">
        <f>'[18]Table 4 Level 3'!P38</f>
        <v>655.31000000000006</v>
      </c>
      <c r="J38" s="167">
        <f t="shared" si="4"/>
        <v>5984.8544226517861</v>
      </c>
      <c r="K38" s="165">
        <f t="shared" si="5"/>
        <v>-2142577.8833093396</v>
      </c>
      <c r="L38" s="178">
        <f t="shared" si="6"/>
        <v>0</v>
      </c>
      <c r="M38" s="178">
        <f t="shared" si="7"/>
        <v>-2142577.8833093396</v>
      </c>
    </row>
    <row r="39" spans="1:13" ht="14.25" hidden="1">
      <c r="A39" s="402">
        <v>34</v>
      </c>
      <c r="B39" s="161" t="s">
        <v>196</v>
      </c>
      <c r="C39" s="166">
        <f>'[16]2-1-13 SIS'!C40+'[16]2-1-13 SIS'!R40</f>
        <v>4250</v>
      </c>
      <c r="D39" s="166">
        <f>'[17]10.1.13 ALL'!C39</f>
        <v>4410</v>
      </c>
      <c r="E39" s="163">
        <f t="shared" si="1"/>
        <v>160</v>
      </c>
      <c r="F39" s="163">
        <f t="shared" si="2"/>
        <v>160</v>
      </c>
      <c r="G39" s="163">
        <f t="shared" si="3"/>
        <v>0</v>
      </c>
      <c r="H39" s="167">
        <f>'[18]Table 3 Levels 1&amp;2'!AL41</f>
        <v>6003.632932007491</v>
      </c>
      <c r="I39" s="167">
        <f>'[18]Table 4 Level 3'!P39</f>
        <v>644.11000000000013</v>
      </c>
      <c r="J39" s="167">
        <f t="shared" si="4"/>
        <v>6647.7429320074916</v>
      </c>
      <c r="K39" s="165">
        <f t="shared" si="5"/>
        <v>1063638.8691211985</v>
      </c>
      <c r="L39" s="178">
        <f t="shared" si="6"/>
        <v>1063638.8691211985</v>
      </c>
      <c r="M39" s="178">
        <f t="shared" si="7"/>
        <v>0</v>
      </c>
    </row>
    <row r="40" spans="1:13" ht="14.25" hidden="1">
      <c r="A40" s="403">
        <v>35</v>
      </c>
      <c r="B40" s="169" t="s">
        <v>197</v>
      </c>
      <c r="C40" s="170">
        <f>'[16]2-1-13 SIS'!C41+'[16]2-1-13 SIS'!R41</f>
        <v>6457</v>
      </c>
      <c r="D40" s="170">
        <f>'[17]10.1.13 ALL'!C40</f>
        <v>6451</v>
      </c>
      <c r="E40" s="172">
        <f t="shared" si="1"/>
        <v>-6</v>
      </c>
      <c r="F40" s="172">
        <f t="shared" si="2"/>
        <v>0</v>
      </c>
      <c r="G40" s="172">
        <f t="shared" si="3"/>
        <v>-6</v>
      </c>
      <c r="H40" s="174">
        <f>'[18]Table 3 Levels 1&amp;2'!AL42</f>
        <v>4607.1606416222867</v>
      </c>
      <c r="I40" s="174">
        <f>'[18]Table 4 Level 3'!P40</f>
        <v>537.96</v>
      </c>
      <c r="J40" s="174">
        <f t="shared" si="4"/>
        <v>5145.1206416222867</v>
      </c>
      <c r="K40" s="175">
        <f t="shared" si="5"/>
        <v>-30870.72384973372</v>
      </c>
      <c r="L40" s="179">
        <f t="shared" si="6"/>
        <v>0</v>
      </c>
      <c r="M40" s="179">
        <f t="shared" si="7"/>
        <v>-30870.72384973372</v>
      </c>
    </row>
    <row r="41" spans="1:13" ht="14.25" hidden="1">
      <c r="A41" s="402">
        <v>36</v>
      </c>
      <c r="B41" s="161" t="s">
        <v>198</v>
      </c>
      <c r="C41" s="176">
        <f>'[16]2-1-13 SIS'!C42+'[16]2-1-13 SIS'!R42</f>
        <v>10997</v>
      </c>
      <c r="D41" s="166">
        <f>'[17]10.1.13 ALL'!C41</f>
        <v>12139</v>
      </c>
      <c r="E41" s="163">
        <f t="shared" si="1"/>
        <v>1142</v>
      </c>
      <c r="F41" s="163">
        <f t="shared" si="2"/>
        <v>1142</v>
      </c>
      <c r="G41" s="163">
        <f t="shared" si="3"/>
        <v>0</v>
      </c>
      <c r="H41" s="177">
        <f>'[18]Table 3 Levels 1&amp;2'!AL43</f>
        <v>3520.4894337711748</v>
      </c>
      <c r="I41" s="181">
        <f>'[18]Table 4 Level 3'!P41</f>
        <v>727.23177743956114</v>
      </c>
      <c r="J41" s="167">
        <f t="shared" si="4"/>
        <v>4247.7212112107363</v>
      </c>
      <c r="K41" s="165">
        <f t="shared" si="5"/>
        <v>4850897.6232026611</v>
      </c>
      <c r="L41" s="178">
        <f t="shared" si="6"/>
        <v>4850897.6232026611</v>
      </c>
      <c r="M41" s="178">
        <f t="shared" si="7"/>
        <v>0</v>
      </c>
    </row>
    <row r="42" spans="1:13" ht="14.25" hidden="1">
      <c r="A42" s="402">
        <v>37</v>
      </c>
      <c r="B42" s="161" t="s">
        <v>199</v>
      </c>
      <c r="C42" s="162">
        <f>'[16]2-1-13 SIS'!C43+'[16]2-1-13 SIS'!R43</f>
        <v>19565</v>
      </c>
      <c r="D42" s="162">
        <f>'[17]10.1.13 ALL'!C42</f>
        <v>19511</v>
      </c>
      <c r="E42" s="163">
        <f t="shared" si="1"/>
        <v>-54</v>
      </c>
      <c r="F42" s="163">
        <f t="shared" si="2"/>
        <v>0</v>
      </c>
      <c r="G42" s="163">
        <f t="shared" si="3"/>
        <v>-54</v>
      </c>
      <c r="H42" s="164">
        <f>'[18]Table 3 Levels 1&amp;2'!AL44</f>
        <v>5503.7595641818853</v>
      </c>
      <c r="I42" s="164">
        <f>'[18]Table 4 Level 3'!P42</f>
        <v>653.61</v>
      </c>
      <c r="J42" s="164">
        <f t="shared" si="4"/>
        <v>6157.3695641818849</v>
      </c>
      <c r="K42" s="165">
        <f t="shared" si="5"/>
        <v>-332497.95646582177</v>
      </c>
      <c r="L42" s="178">
        <f t="shared" si="6"/>
        <v>0</v>
      </c>
      <c r="M42" s="178">
        <f t="shared" si="7"/>
        <v>-332497.95646582177</v>
      </c>
    </row>
    <row r="43" spans="1:13" ht="14.25" hidden="1">
      <c r="A43" s="402">
        <v>38</v>
      </c>
      <c r="B43" s="161" t="s">
        <v>200</v>
      </c>
      <c r="C43" s="162">
        <f>'[16]2-1-13 SIS'!C44+'[16]2-1-13 SIS'!R44</f>
        <v>3791</v>
      </c>
      <c r="D43" s="166">
        <f>'[17]10.1.13 ALL'!C43</f>
        <v>3866</v>
      </c>
      <c r="E43" s="163">
        <f t="shared" si="1"/>
        <v>75</v>
      </c>
      <c r="F43" s="163">
        <f t="shared" si="2"/>
        <v>75</v>
      </c>
      <c r="G43" s="163">
        <f t="shared" si="3"/>
        <v>0</v>
      </c>
      <c r="H43" s="164">
        <f>'[18]Table 3 Levels 1&amp;2'!AL45</f>
        <v>2192.7545275590551</v>
      </c>
      <c r="I43" s="164">
        <f>'[18]Table 4 Level 3'!P43</f>
        <v>829.92000000000007</v>
      </c>
      <c r="J43" s="167">
        <f t="shared" si="4"/>
        <v>3022.6745275590552</v>
      </c>
      <c r="K43" s="165">
        <f t="shared" si="5"/>
        <v>226700.58956692915</v>
      </c>
      <c r="L43" s="178">
        <f t="shared" si="6"/>
        <v>226700.58956692915</v>
      </c>
      <c r="M43" s="178">
        <f t="shared" si="7"/>
        <v>0</v>
      </c>
    </row>
    <row r="44" spans="1:13" ht="14.25" hidden="1">
      <c r="A44" s="402">
        <v>39</v>
      </c>
      <c r="B44" s="161" t="s">
        <v>201</v>
      </c>
      <c r="C44" s="176">
        <f>'[16]2-1-13 SIS'!C45+'[16]2-1-13 SIS'!R45</f>
        <v>2600</v>
      </c>
      <c r="D44" s="166">
        <f>'[17]10.1.13 ALL'!C44</f>
        <v>2605</v>
      </c>
      <c r="E44" s="163">
        <f t="shared" si="1"/>
        <v>5</v>
      </c>
      <c r="F44" s="163">
        <f t="shared" si="2"/>
        <v>5</v>
      </c>
      <c r="G44" s="163">
        <f t="shared" si="3"/>
        <v>0</v>
      </c>
      <c r="H44" s="177">
        <f>'[18]Table 3 Levels 1&amp;2'!AL46</f>
        <v>3639.9942778062696</v>
      </c>
      <c r="I44" s="177">
        <f>'[18]Table 4 Level 3'!P44</f>
        <v>779.65573042776441</v>
      </c>
      <c r="J44" s="167">
        <f t="shared" si="4"/>
        <v>4419.6500082340335</v>
      </c>
      <c r="K44" s="165">
        <f t="shared" si="5"/>
        <v>22098.250041170169</v>
      </c>
      <c r="L44" s="178">
        <f t="shared" si="6"/>
        <v>22098.250041170169</v>
      </c>
      <c r="M44" s="178">
        <f t="shared" si="7"/>
        <v>0</v>
      </c>
    </row>
    <row r="45" spans="1:13" ht="14.25" hidden="1">
      <c r="A45" s="403">
        <v>40</v>
      </c>
      <c r="B45" s="169" t="s">
        <v>202</v>
      </c>
      <c r="C45" s="170">
        <f>'[16]2-1-13 SIS'!C46+'[16]2-1-13 SIS'!R46</f>
        <v>22916</v>
      </c>
      <c r="D45" s="170">
        <f>'[17]10.1.13 ALL'!C45</f>
        <v>23139</v>
      </c>
      <c r="E45" s="172">
        <f t="shared" si="1"/>
        <v>223</v>
      </c>
      <c r="F45" s="172">
        <f t="shared" si="2"/>
        <v>223</v>
      </c>
      <c r="G45" s="172">
        <f t="shared" si="3"/>
        <v>0</v>
      </c>
      <c r="H45" s="174">
        <f>'[18]Table 3 Levels 1&amp;2'!AL47</f>
        <v>4928.4974462701202</v>
      </c>
      <c r="I45" s="174">
        <f>'[18]Table 4 Level 3'!P45</f>
        <v>700.2700000000001</v>
      </c>
      <c r="J45" s="174">
        <f t="shared" si="4"/>
        <v>5628.7674462701207</v>
      </c>
      <c r="K45" s="175">
        <f t="shared" si="5"/>
        <v>1255215.1405182369</v>
      </c>
      <c r="L45" s="179">
        <f t="shared" si="6"/>
        <v>1255215.1405182369</v>
      </c>
      <c r="M45" s="179">
        <f t="shared" si="7"/>
        <v>0</v>
      </c>
    </row>
    <row r="46" spans="1:13" ht="14.25" hidden="1">
      <c r="A46" s="402">
        <v>41</v>
      </c>
      <c r="B46" s="161" t="s">
        <v>203</v>
      </c>
      <c r="C46" s="166">
        <f>'[16]2-1-13 SIS'!C47+'[16]2-1-13 SIS'!R47</f>
        <v>1409</v>
      </c>
      <c r="D46" s="162">
        <f>'[17]10.1.13 ALL'!C46</f>
        <v>1451</v>
      </c>
      <c r="E46" s="163">
        <f t="shared" si="1"/>
        <v>42</v>
      </c>
      <c r="F46" s="163">
        <f t="shared" si="2"/>
        <v>42</v>
      </c>
      <c r="G46" s="163">
        <f t="shared" si="3"/>
        <v>0</v>
      </c>
      <c r="H46" s="164">
        <f>'[18]Table 3 Levels 1&amp;2'!AL48</f>
        <v>1615.6013465627216</v>
      </c>
      <c r="I46" s="164">
        <f>'[18]Table 4 Level 3'!P46</f>
        <v>886.22</v>
      </c>
      <c r="J46" s="164">
        <f t="shared" si="4"/>
        <v>2501.8213465627214</v>
      </c>
      <c r="K46" s="165">
        <f t="shared" si="5"/>
        <v>105076.49655563429</v>
      </c>
      <c r="L46" s="178">
        <f t="shared" si="6"/>
        <v>105076.49655563429</v>
      </c>
      <c r="M46" s="178">
        <f t="shared" si="7"/>
        <v>0</v>
      </c>
    </row>
    <row r="47" spans="1:13" ht="0.75" hidden="1" customHeight="1">
      <c r="A47" s="402">
        <v>42</v>
      </c>
      <c r="B47" s="161" t="s">
        <v>204</v>
      </c>
      <c r="C47" s="166">
        <f>'[16]2-1-13 SIS'!C48+'[16]2-1-13 SIS'!R48</f>
        <v>3430</v>
      </c>
      <c r="D47" s="162">
        <f>'[17]10.1.13 ALL'!C47</f>
        <v>3276</v>
      </c>
      <c r="E47" s="163">
        <f t="shared" si="1"/>
        <v>-154</v>
      </c>
      <c r="F47" s="163">
        <f t="shared" si="2"/>
        <v>0</v>
      </c>
      <c r="G47" s="163">
        <f t="shared" si="3"/>
        <v>-154</v>
      </c>
      <c r="H47" s="164">
        <f>'[18]Table 3 Levels 1&amp;2'!AL49</f>
        <v>5087.4730460987803</v>
      </c>
      <c r="I47" s="164">
        <f>'[18]Table 4 Level 3'!P47</f>
        <v>534.28</v>
      </c>
      <c r="J47" s="164">
        <f t="shared" si="4"/>
        <v>5621.75304609878</v>
      </c>
      <c r="K47" s="165">
        <f t="shared" si="5"/>
        <v>-865749.96909921209</v>
      </c>
      <c r="L47" s="178">
        <f t="shared" si="6"/>
        <v>0</v>
      </c>
      <c r="M47" s="178">
        <f t="shared" si="7"/>
        <v>-865749.96909921209</v>
      </c>
    </row>
    <row r="48" spans="1:13" ht="15" hidden="1" thickBot="1">
      <c r="A48" s="402">
        <v>43</v>
      </c>
      <c r="B48" s="161" t="s">
        <v>205</v>
      </c>
      <c r="C48" s="166">
        <f>'[16]2-1-13 SIS'!C49+'[16]2-1-13 SIS'!R49</f>
        <v>4011</v>
      </c>
      <c r="D48" s="166">
        <f>'[17]10.1.13 ALL'!C48</f>
        <v>4092</v>
      </c>
      <c r="E48" s="163">
        <f t="shared" si="1"/>
        <v>81</v>
      </c>
      <c r="F48" s="163">
        <f t="shared" si="2"/>
        <v>81</v>
      </c>
      <c r="G48" s="163">
        <f t="shared" si="3"/>
        <v>0</v>
      </c>
      <c r="H48" s="167">
        <f>'[18]Table 3 Levels 1&amp;2'!AL50</f>
        <v>4717.8414352725031</v>
      </c>
      <c r="I48" s="167">
        <f>'[18]Table 4 Level 3'!P48</f>
        <v>574.6099999999999</v>
      </c>
      <c r="J48" s="167">
        <f t="shared" si="4"/>
        <v>5292.4514352725027</v>
      </c>
      <c r="K48" s="165">
        <f t="shared" si="5"/>
        <v>428688.56625707273</v>
      </c>
      <c r="L48" s="178">
        <f t="shared" si="6"/>
        <v>428688.56625707273</v>
      </c>
      <c r="M48" s="178">
        <f t="shared" si="7"/>
        <v>0</v>
      </c>
    </row>
    <row r="49" spans="1:13" ht="15" hidden="1" thickBot="1">
      <c r="A49" s="402">
        <v>44</v>
      </c>
      <c r="B49" s="161" t="s">
        <v>206</v>
      </c>
      <c r="C49" s="166">
        <f>'[16]2-1-13 SIS'!C50+'[16]2-1-13 SIS'!R50</f>
        <v>6360</v>
      </c>
      <c r="D49" s="166">
        <f>'[17]10.1.13 ALL'!C49</f>
        <v>6709</v>
      </c>
      <c r="E49" s="163">
        <f t="shared" si="1"/>
        <v>349</v>
      </c>
      <c r="F49" s="163">
        <f t="shared" si="2"/>
        <v>349</v>
      </c>
      <c r="G49" s="163">
        <f t="shared" si="3"/>
        <v>0</v>
      </c>
      <c r="H49" s="167">
        <f>'[18]Table 3 Levels 1&amp;2'!AL51</f>
        <v>4696.6221228259064</v>
      </c>
      <c r="I49" s="167">
        <f>'[18]Table 4 Level 3'!P49</f>
        <v>663.16000000000008</v>
      </c>
      <c r="J49" s="167">
        <f t="shared" si="4"/>
        <v>5359.7821228259063</v>
      </c>
      <c r="K49" s="165">
        <f t="shared" si="5"/>
        <v>1870563.9608662413</v>
      </c>
      <c r="L49" s="178">
        <f t="shared" si="6"/>
        <v>1870563.9608662413</v>
      </c>
      <c r="M49" s="178">
        <f t="shared" si="7"/>
        <v>0</v>
      </c>
    </row>
    <row r="50" spans="1:13" ht="15" hidden="1" thickBot="1">
      <c r="A50" s="403">
        <v>45</v>
      </c>
      <c r="B50" s="169" t="s">
        <v>207</v>
      </c>
      <c r="C50" s="170">
        <f>'[16]2-1-13 SIS'!C51+'[16]2-1-13 SIS'!R51</f>
        <v>9454</v>
      </c>
      <c r="D50" s="170">
        <f>'[17]10.1.13 ALL'!C50</f>
        <v>9406</v>
      </c>
      <c r="E50" s="172">
        <f t="shared" si="1"/>
        <v>-48</v>
      </c>
      <c r="F50" s="172">
        <f t="shared" si="2"/>
        <v>0</v>
      </c>
      <c r="G50" s="172">
        <f t="shared" si="3"/>
        <v>-48</v>
      </c>
      <c r="H50" s="174">
        <f>'[18]Table 3 Levels 1&amp;2'!AL52</f>
        <v>2192.4914538932262</v>
      </c>
      <c r="I50" s="174">
        <f>'[18]Table 4 Level 3'!P50</f>
        <v>753.96000000000015</v>
      </c>
      <c r="J50" s="174">
        <f t="shared" si="4"/>
        <v>2946.4514538932262</v>
      </c>
      <c r="K50" s="175">
        <f t="shared" si="5"/>
        <v>-141429.66978687485</v>
      </c>
      <c r="L50" s="179">
        <f t="shared" si="6"/>
        <v>0</v>
      </c>
      <c r="M50" s="179">
        <f t="shared" si="7"/>
        <v>-141429.66978687485</v>
      </c>
    </row>
    <row r="51" spans="1:13" ht="15" hidden="1" thickBot="1">
      <c r="A51" s="402">
        <v>46</v>
      </c>
      <c r="B51" s="161" t="s">
        <v>208</v>
      </c>
      <c r="C51" s="176">
        <f>'[16]2-1-13 SIS'!C52+'[16]2-1-13 SIS'!R52</f>
        <v>746</v>
      </c>
      <c r="D51" s="162">
        <f>'[17]10.1.13 ALL'!C51</f>
        <v>730</v>
      </c>
      <c r="E51" s="163">
        <f t="shared" si="1"/>
        <v>-16</v>
      </c>
      <c r="F51" s="163">
        <f t="shared" si="2"/>
        <v>0</v>
      </c>
      <c r="G51" s="163">
        <f t="shared" si="3"/>
        <v>-16</v>
      </c>
      <c r="H51" s="177">
        <f>'[18]Table 3 Levels 1&amp;2'!AL53</f>
        <v>5644.6599115241634</v>
      </c>
      <c r="I51" s="177">
        <f>'[18]Table 4 Level 3'!P51</f>
        <v>728.06</v>
      </c>
      <c r="J51" s="164">
        <f t="shared" si="4"/>
        <v>6372.7199115241638</v>
      </c>
      <c r="K51" s="165">
        <f t="shared" si="5"/>
        <v>-101963.51858438662</v>
      </c>
      <c r="L51" s="178">
        <f t="shared" si="6"/>
        <v>0</v>
      </c>
      <c r="M51" s="178">
        <f t="shared" si="7"/>
        <v>-101963.51858438662</v>
      </c>
    </row>
    <row r="52" spans="1:13" ht="15" hidden="1" thickBot="1">
      <c r="A52" s="402">
        <v>47</v>
      </c>
      <c r="B52" s="161" t="s">
        <v>209</v>
      </c>
      <c r="C52" s="162">
        <f>'[16]2-1-13 SIS'!C53+'[16]2-1-13 SIS'!R53</f>
        <v>3618</v>
      </c>
      <c r="D52" s="162">
        <f>'[17]10.1.13 ALL'!C52</f>
        <v>3625</v>
      </c>
      <c r="E52" s="163">
        <f t="shared" si="1"/>
        <v>7</v>
      </c>
      <c r="F52" s="163">
        <f t="shared" si="2"/>
        <v>7</v>
      </c>
      <c r="G52" s="163">
        <f t="shared" si="3"/>
        <v>0</v>
      </c>
      <c r="H52" s="164">
        <f>'[18]Table 3 Levels 1&amp;2'!AL54</f>
        <v>2731.2444076222037</v>
      </c>
      <c r="I52" s="164">
        <f>'[18]Table 4 Level 3'!P52</f>
        <v>910.76</v>
      </c>
      <c r="J52" s="164">
        <f t="shared" si="4"/>
        <v>3642.0044076222039</v>
      </c>
      <c r="K52" s="165">
        <f t="shared" si="5"/>
        <v>25494.030853355427</v>
      </c>
      <c r="L52" s="178">
        <f t="shared" si="6"/>
        <v>25494.030853355427</v>
      </c>
      <c r="M52" s="178">
        <f t="shared" si="7"/>
        <v>0</v>
      </c>
    </row>
    <row r="53" spans="1:13" ht="15" hidden="1" thickBot="1">
      <c r="A53" s="402">
        <v>48</v>
      </c>
      <c r="B53" s="161" t="s">
        <v>210</v>
      </c>
      <c r="C53" s="162">
        <f>'[16]2-1-13 SIS'!C54+'[16]2-1-13 SIS'!R54</f>
        <v>5755</v>
      </c>
      <c r="D53" s="166">
        <f>'[17]10.1.13 ALL'!C53</f>
        <v>5706</v>
      </c>
      <c r="E53" s="163">
        <f t="shared" si="1"/>
        <v>-49</v>
      </c>
      <c r="F53" s="163">
        <f t="shared" si="2"/>
        <v>0</v>
      </c>
      <c r="G53" s="163">
        <f t="shared" si="3"/>
        <v>-49</v>
      </c>
      <c r="H53" s="167">
        <f>'[18]Table 3 Levels 1&amp;2'!AL55</f>
        <v>4272.723323083942</v>
      </c>
      <c r="I53" s="167">
        <f>'[18]Table 4 Level 3'!P53</f>
        <v>871.07</v>
      </c>
      <c r="J53" s="167">
        <f t="shared" si="4"/>
        <v>5143.7933230839417</v>
      </c>
      <c r="K53" s="165">
        <f t="shared" si="5"/>
        <v>-252045.87283111314</v>
      </c>
      <c r="L53" s="178">
        <f t="shared" si="6"/>
        <v>0</v>
      </c>
      <c r="M53" s="178">
        <f t="shared" si="7"/>
        <v>-252045.87283111314</v>
      </c>
    </row>
    <row r="54" spans="1:13" ht="15" hidden="1" thickBot="1">
      <c r="A54" s="402">
        <v>49</v>
      </c>
      <c r="B54" s="161" t="s">
        <v>211</v>
      </c>
      <c r="C54" s="162">
        <f>'[16]2-1-13 SIS'!C55+'[16]2-1-13 SIS'!R55</f>
        <v>14248</v>
      </c>
      <c r="D54" s="166">
        <f>'[17]10.1.13 ALL'!C54</f>
        <v>14368</v>
      </c>
      <c r="E54" s="163">
        <f t="shared" si="1"/>
        <v>120</v>
      </c>
      <c r="F54" s="163">
        <f t="shared" si="2"/>
        <v>120</v>
      </c>
      <c r="G54" s="163">
        <f t="shared" si="3"/>
        <v>0</v>
      </c>
      <c r="H54" s="167">
        <f>'[18]Table 3 Levels 1&amp;2'!AL56</f>
        <v>4836.7092570332552</v>
      </c>
      <c r="I54" s="167">
        <f>'[18]Table 4 Level 3'!P54</f>
        <v>574.43999999999994</v>
      </c>
      <c r="J54" s="167">
        <f t="shared" si="4"/>
        <v>5411.1492570332548</v>
      </c>
      <c r="K54" s="165">
        <f t="shared" si="5"/>
        <v>649337.91084399063</v>
      </c>
      <c r="L54" s="178">
        <f t="shared" si="6"/>
        <v>649337.91084399063</v>
      </c>
      <c r="M54" s="178">
        <f t="shared" si="7"/>
        <v>0</v>
      </c>
    </row>
    <row r="55" spans="1:13" ht="15" hidden="1" thickBot="1">
      <c r="A55" s="403">
        <v>50</v>
      </c>
      <c r="B55" s="169" t="s">
        <v>212</v>
      </c>
      <c r="C55" s="171">
        <f>'[16]2-1-13 SIS'!C56+'[16]2-1-13 SIS'!R56</f>
        <v>7866</v>
      </c>
      <c r="D55" s="170">
        <f>'[17]10.1.13 ALL'!C55</f>
        <v>7931</v>
      </c>
      <c r="E55" s="172">
        <f t="shared" si="1"/>
        <v>65</v>
      </c>
      <c r="F55" s="172">
        <f t="shared" si="2"/>
        <v>65</v>
      </c>
      <c r="G55" s="172">
        <f t="shared" si="3"/>
        <v>0</v>
      </c>
      <c r="H55" s="174">
        <f>'[18]Table 3 Levels 1&amp;2'!AL57</f>
        <v>5032.6862895017111</v>
      </c>
      <c r="I55" s="174">
        <f>'[18]Table 4 Level 3'!P55</f>
        <v>634.46</v>
      </c>
      <c r="J55" s="174">
        <f t="shared" si="4"/>
        <v>5667.1462895017112</v>
      </c>
      <c r="K55" s="175">
        <f t="shared" si="5"/>
        <v>368364.5088176112</v>
      </c>
      <c r="L55" s="179">
        <f t="shared" si="6"/>
        <v>368364.5088176112</v>
      </c>
      <c r="M55" s="179">
        <f t="shared" si="7"/>
        <v>0</v>
      </c>
    </row>
    <row r="56" spans="1:13" ht="15" hidden="1" thickBot="1">
      <c r="A56" s="402">
        <v>51</v>
      </c>
      <c r="B56" s="161" t="s">
        <v>213</v>
      </c>
      <c r="C56" s="162">
        <f>'[16]2-1-13 SIS'!C57+'[16]2-1-13 SIS'!R57</f>
        <v>8995</v>
      </c>
      <c r="D56" s="162">
        <f>'[17]10.1.13 ALL'!C56</f>
        <v>9051</v>
      </c>
      <c r="E56" s="163">
        <f t="shared" si="1"/>
        <v>56</v>
      </c>
      <c r="F56" s="163">
        <f t="shared" si="2"/>
        <v>56</v>
      </c>
      <c r="G56" s="163">
        <f t="shared" si="3"/>
        <v>0</v>
      </c>
      <c r="H56" s="164">
        <f>'[18]Table 3 Levels 1&amp;2'!AL58</f>
        <v>4246.0339872793602</v>
      </c>
      <c r="I56" s="164">
        <f>'[18]Table 4 Level 3'!P56</f>
        <v>706.66</v>
      </c>
      <c r="J56" s="164">
        <f t="shared" si="4"/>
        <v>4952.69398727936</v>
      </c>
      <c r="K56" s="165">
        <f t="shared" si="5"/>
        <v>277350.86328764417</v>
      </c>
      <c r="L56" s="178">
        <f t="shared" si="6"/>
        <v>277350.86328764417</v>
      </c>
      <c r="M56" s="178">
        <f t="shared" si="7"/>
        <v>0</v>
      </c>
    </row>
    <row r="57" spans="1:13" ht="15" hidden="1" thickBot="1">
      <c r="A57" s="402">
        <v>52</v>
      </c>
      <c r="B57" s="161" t="s">
        <v>214</v>
      </c>
      <c r="C57" s="162">
        <f>'[16]2-1-13 SIS'!C58+'[16]2-1-13 SIS'!R58</f>
        <v>36899</v>
      </c>
      <c r="D57" s="162">
        <f>'[17]10.1.13 ALL'!C57</f>
        <v>37127</v>
      </c>
      <c r="E57" s="163">
        <f t="shared" si="1"/>
        <v>228</v>
      </c>
      <c r="F57" s="163">
        <f t="shared" si="2"/>
        <v>228</v>
      </c>
      <c r="G57" s="163">
        <f t="shared" si="3"/>
        <v>0</v>
      </c>
      <c r="H57" s="164">
        <f>'[18]Table 3 Levels 1&amp;2'!AL59</f>
        <v>5013.4438050113249</v>
      </c>
      <c r="I57" s="164">
        <f>'[18]Table 4 Level 3'!P57</f>
        <v>658.37</v>
      </c>
      <c r="J57" s="164">
        <f t="shared" si="4"/>
        <v>5671.8138050113248</v>
      </c>
      <c r="K57" s="165">
        <f t="shared" si="5"/>
        <v>1293173.547542582</v>
      </c>
      <c r="L57" s="178">
        <f t="shared" si="6"/>
        <v>1293173.547542582</v>
      </c>
      <c r="M57" s="178">
        <f t="shared" si="7"/>
        <v>0</v>
      </c>
    </row>
    <row r="58" spans="1:13" ht="15" hidden="1" thickBot="1">
      <c r="A58" s="402">
        <v>53</v>
      </c>
      <c r="B58" s="161" t="s">
        <v>215</v>
      </c>
      <c r="C58" s="162">
        <f>'[16]2-1-13 SIS'!C59+'[16]2-1-13 SIS'!R59</f>
        <v>19039</v>
      </c>
      <c r="D58" s="166">
        <f>'[17]10.1.13 ALL'!C58</f>
        <v>19393</v>
      </c>
      <c r="E58" s="163">
        <f t="shared" si="1"/>
        <v>354</v>
      </c>
      <c r="F58" s="163">
        <f t="shared" si="2"/>
        <v>354</v>
      </c>
      <c r="G58" s="163">
        <f t="shared" si="3"/>
        <v>0</v>
      </c>
      <c r="H58" s="167">
        <f>'[18]Table 3 Levels 1&amp;2'!AL60</f>
        <v>4775.5877635581091</v>
      </c>
      <c r="I58" s="167">
        <f>'[18]Table 4 Level 3'!P58</f>
        <v>689.74</v>
      </c>
      <c r="J58" s="167">
        <f t="shared" si="4"/>
        <v>5465.3277635581089</v>
      </c>
      <c r="K58" s="165">
        <f t="shared" si="5"/>
        <v>1934726.0282995705</v>
      </c>
      <c r="L58" s="178">
        <f t="shared" si="6"/>
        <v>1934726.0282995705</v>
      </c>
      <c r="M58" s="178">
        <f t="shared" si="7"/>
        <v>0</v>
      </c>
    </row>
    <row r="59" spans="1:13" ht="15" hidden="1" thickBot="1">
      <c r="A59" s="402">
        <v>54</v>
      </c>
      <c r="B59" s="161" t="s">
        <v>216</v>
      </c>
      <c r="C59" s="162">
        <f>'[16]2-1-13 SIS'!C60+'[16]2-1-13 SIS'!R60</f>
        <v>677</v>
      </c>
      <c r="D59" s="166">
        <f>'[17]10.1.13 ALL'!C59</f>
        <v>659</v>
      </c>
      <c r="E59" s="163">
        <f t="shared" si="1"/>
        <v>-18</v>
      </c>
      <c r="F59" s="163">
        <f t="shared" si="2"/>
        <v>0</v>
      </c>
      <c r="G59" s="163">
        <f t="shared" si="3"/>
        <v>-18</v>
      </c>
      <c r="H59" s="167">
        <f>'[18]Table 3 Levels 1&amp;2'!AL61</f>
        <v>5951.8009386275662</v>
      </c>
      <c r="I59" s="167">
        <f>'[18]Table 4 Level 3'!P59</f>
        <v>951.45</v>
      </c>
      <c r="J59" s="167">
        <f t="shared" si="4"/>
        <v>6903.250938627566</v>
      </c>
      <c r="K59" s="165">
        <f t="shared" si="5"/>
        <v>-124258.51689529618</v>
      </c>
      <c r="L59" s="178">
        <f t="shared" si="6"/>
        <v>0</v>
      </c>
      <c r="M59" s="178">
        <f t="shared" si="7"/>
        <v>-124258.51689529618</v>
      </c>
    </row>
    <row r="60" spans="1:13" ht="15" hidden="1" thickBot="1">
      <c r="A60" s="403">
        <v>55</v>
      </c>
      <c r="B60" s="169" t="s">
        <v>217</v>
      </c>
      <c r="C60" s="171">
        <f>'[16]2-1-13 SIS'!C61+'[16]2-1-13 SIS'!R61</f>
        <v>17696</v>
      </c>
      <c r="D60" s="170">
        <f>'[17]10.1.13 ALL'!C60</f>
        <v>17825</v>
      </c>
      <c r="E60" s="172">
        <f t="shared" si="1"/>
        <v>129</v>
      </c>
      <c r="F60" s="172">
        <f t="shared" si="2"/>
        <v>129</v>
      </c>
      <c r="G60" s="172">
        <f t="shared" si="3"/>
        <v>0</v>
      </c>
      <c r="H60" s="174">
        <f>'[18]Table 3 Levels 1&amp;2'!AL62</f>
        <v>4171.0434735233157</v>
      </c>
      <c r="I60" s="174">
        <f>'[18]Table 4 Level 3'!P60</f>
        <v>795.14</v>
      </c>
      <c r="J60" s="174">
        <f t="shared" si="4"/>
        <v>4966.183473523316</v>
      </c>
      <c r="K60" s="175">
        <f t="shared" si="5"/>
        <v>640637.66808450781</v>
      </c>
      <c r="L60" s="179">
        <f t="shared" si="6"/>
        <v>640637.66808450781</v>
      </c>
      <c r="M60" s="179">
        <f t="shared" si="7"/>
        <v>0</v>
      </c>
    </row>
    <row r="61" spans="1:13" ht="15" hidden="1" thickBot="1">
      <c r="A61" s="402">
        <v>56</v>
      </c>
      <c r="B61" s="161" t="s">
        <v>218</v>
      </c>
      <c r="C61" s="162">
        <f>'[16]2-1-13 SIS'!C62+'[16]2-1-13 SIS'!R62</f>
        <v>2316</v>
      </c>
      <c r="D61" s="162">
        <f>'[17]10.1.13 ALL'!C61</f>
        <v>2212</v>
      </c>
      <c r="E61" s="163">
        <f t="shared" si="1"/>
        <v>-104</v>
      </c>
      <c r="F61" s="163">
        <f t="shared" si="2"/>
        <v>0</v>
      </c>
      <c r="G61" s="163">
        <f t="shared" si="3"/>
        <v>-104</v>
      </c>
      <c r="H61" s="164">
        <f>'[18]Table 3 Levels 1&amp;2'!AL63</f>
        <v>4968.593189672727</v>
      </c>
      <c r="I61" s="164">
        <f>'[18]Table 4 Level 3'!P61</f>
        <v>614.66000000000008</v>
      </c>
      <c r="J61" s="164">
        <f t="shared" si="4"/>
        <v>5583.2531896727269</v>
      </c>
      <c r="K61" s="165">
        <f t="shared" si="5"/>
        <v>-580658.33172596362</v>
      </c>
      <c r="L61" s="178">
        <f t="shared" si="6"/>
        <v>0</v>
      </c>
      <c r="M61" s="178">
        <f t="shared" si="7"/>
        <v>-580658.33172596362</v>
      </c>
    </row>
    <row r="62" spans="1:13" ht="3" hidden="1" customHeight="1" thickBot="1">
      <c r="A62" s="402">
        <v>57</v>
      </c>
      <c r="B62" s="161" t="s">
        <v>219</v>
      </c>
      <c r="C62" s="162">
        <f>'[16]2-1-13 SIS'!C63+'[16]2-1-13 SIS'!R63</f>
        <v>9031</v>
      </c>
      <c r="D62" s="162">
        <f>'[17]10.1.13 ALL'!C62</f>
        <v>9176</v>
      </c>
      <c r="E62" s="163">
        <f t="shared" si="1"/>
        <v>145</v>
      </c>
      <c r="F62" s="163">
        <f t="shared" si="2"/>
        <v>145</v>
      </c>
      <c r="G62" s="163">
        <f t="shared" si="3"/>
        <v>0</v>
      </c>
      <c r="H62" s="164">
        <f>'[18]Table 3 Levels 1&amp;2'!AL64</f>
        <v>4485.7073020218859</v>
      </c>
      <c r="I62" s="164">
        <f>'[18]Table 4 Level 3'!P62</f>
        <v>764.51</v>
      </c>
      <c r="J62" s="164">
        <f t="shared" si="4"/>
        <v>5250.2173020218861</v>
      </c>
      <c r="K62" s="165">
        <f t="shared" si="5"/>
        <v>761281.50879317347</v>
      </c>
      <c r="L62" s="178">
        <f t="shared" si="6"/>
        <v>761281.50879317347</v>
      </c>
      <c r="M62" s="178">
        <f t="shared" si="7"/>
        <v>0</v>
      </c>
    </row>
    <row r="63" spans="1:13" ht="15" hidden="1" thickBot="1">
      <c r="A63" s="402">
        <v>58</v>
      </c>
      <c r="B63" s="161" t="s">
        <v>220</v>
      </c>
      <c r="C63" s="162">
        <f>'[16]2-1-13 SIS'!C64+'[16]2-1-13 SIS'!R64</f>
        <v>9032</v>
      </c>
      <c r="D63" s="166">
        <f>'[17]10.1.13 ALL'!C63</f>
        <v>9071</v>
      </c>
      <c r="E63" s="163">
        <f t="shared" si="1"/>
        <v>39</v>
      </c>
      <c r="F63" s="163">
        <f t="shared" si="2"/>
        <v>39</v>
      </c>
      <c r="G63" s="163">
        <f t="shared" si="3"/>
        <v>0</v>
      </c>
      <c r="H63" s="167">
        <f>'[18]Table 3 Levels 1&amp;2'!AL65</f>
        <v>5457.8662803476354</v>
      </c>
      <c r="I63" s="167">
        <f>'[18]Table 4 Level 3'!P63</f>
        <v>697.04</v>
      </c>
      <c r="J63" s="167">
        <f t="shared" si="4"/>
        <v>6154.9062803476354</v>
      </c>
      <c r="K63" s="165">
        <f t="shared" si="5"/>
        <v>240041.34493355779</v>
      </c>
      <c r="L63" s="178">
        <f t="shared" si="6"/>
        <v>240041.34493355779</v>
      </c>
      <c r="M63" s="178">
        <f t="shared" si="7"/>
        <v>0</v>
      </c>
    </row>
    <row r="64" spans="1:13" ht="15" hidden="1" thickBot="1">
      <c r="A64" s="402">
        <v>59</v>
      </c>
      <c r="B64" s="161" t="s">
        <v>221</v>
      </c>
      <c r="C64" s="162">
        <f>'[16]2-1-13 SIS'!C65+'[16]2-1-13 SIS'!R65</f>
        <v>5220</v>
      </c>
      <c r="D64" s="166">
        <f>'[17]10.1.13 ALL'!C64</f>
        <v>5131</v>
      </c>
      <c r="E64" s="163">
        <f t="shared" si="1"/>
        <v>-89</v>
      </c>
      <c r="F64" s="163">
        <f t="shared" si="2"/>
        <v>0</v>
      </c>
      <c r="G64" s="163">
        <f t="shared" si="3"/>
        <v>-89</v>
      </c>
      <c r="H64" s="167">
        <f>'[18]Table 3 Levels 1&amp;2'!AL66</f>
        <v>6274.2786338006481</v>
      </c>
      <c r="I64" s="167">
        <f>'[18]Table 4 Level 3'!P64</f>
        <v>689.52</v>
      </c>
      <c r="J64" s="167">
        <f t="shared" si="4"/>
        <v>6963.7986338006485</v>
      </c>
      <c r="K64" s="165">
        <f t="shared" si="5"/>
        <v>-619778.07840825769</v>
      </c>
      <c r="L64" s="178">
        <f t="shared" si="6"/>
        <v>0</v>
      </c>
      <c r="M64" s="178">
        <f t="shared" si="7"/>
        <v>-619778.07840825769</v>
      </c>
    </row>
    <row r="65" spans="1:13" ht="15" hidden="1" thickBot="1">
      <c r="A65" s="403">
        <v>60</v>
      </c>
      <c r="B65" s="169" t="s">
        <v>222</v>
      </c>
      <c r="C65" s="171">
        <f>'[16]2-1-13 SIS'!C66+'[16]2-1-13 SIS'!R66</f>
        <v>6450</v>
      </c>
      <c r="D65" s="170">
        <f>'[17]10.1.13 ALL'!C65</f>
        <v>6461</v>
      </c>
      <c r="E65" s="172">
        <f t="shared" si="1"/>
        <v>11</v>
      </c>
      <c r="F65" s="172">
        <f t="shared" si="2"/>
        <v>11</v>
      </c>
      <c r="G65" s="172">
        <f t="shared" si="3"/>
        <v>0</v>
      </c>
      <c r="H65" s="174">
        <f>'[18]Table 3 Levels 1&amp;2'!AL67</f>
        <v>4940.9166775610411</v>
      </c>
      <c r="I65" s="174">
        <f>'[18]Table 4 Level 3'!P65</f>
        <v>594.04</v>
      </c>
      <c r="J65" s="174">
        <f t="shared" si="4"/>
        <v>5534.956677561041</v>
      </c>
      <c r="K65" s="175">
        <f t="shared" si="5"/>
        <v>60884.523453171452</v>
      </c>
      <c r="L65" s="179">
        <f t="shared" si="6"/>
        <v>60884.523453171452</v>
      </c>
      <c r="M65" s="179">
        <f t="shared" si="7"/>
        <v>0</v>
      </c>
    </row>
    <row r="66" spans="1:13" ht="15" hidden="1" thickBot="1">
      <c r="A66" s="402">
        <v>61</v>
      </c>
      <c r="B66" s="161" t="s">
        <v>223</v>
      </c>
      <c r="C66" s="162">
        <f>'[16]2-1-13 SIS'!C67+'[16]2-1-13 SIS'!R67</f>
        <v>3604</v>
      </c>
      <c r="D66" s="162">
        <f>'[17]10.1.13 ALL'!C66</f>
        <v>3618</v>
      </c>
      <c r="E66" s="163">
        <f t="shared" si="1"/>
        <v>14</v>
      </c>
      <c r="F66" s="163">
        <f t="shared" si="2"/>
        <v>14</v>
      </c>
      <c r="G66" s="163">
        <f t="shared" si="3"/>
        <v>0</v>
      </c>
      <c r="H66" s="164">
        <f>'[18]Table 3 Levels 1&amp;2'!AL68</f>
        <v>2908.0344869339228</v>
      </c>
      <c r="I66" s="164">
        <f>'[18]Table 4 Level 3'!P66</f>
        <v>833.70999999999992</v>
      </c>
      <c r="J66" s="164">
        <f t="shared" si="4"/>
        <v>3741.7444869339229</v>
      </c>
      <c r="K66" s="165">
        <f t="shared" si="5"/>
        <v>52384.422817074919</v>
      </c>
      <c r="L66" s="178">
        <f t="shared" si="6"/>
        <v>52384.422817074919</v>
      </c>
      <c r="M66" s="178">
        <f t="shared" si="7"/>
        <v>0</v>
      </c>
    </row>
    <row r="67" spans="1:13" ht="15" hidden="1" thickBot="1">
      <c r="A67" s="402">
        <v>62</v>
      </c>
      <c r="B67" s="161" t="s">
        <v>224</v>
      </c>
      <c r="C67" s="162">
        <f>'[16]2-1-13 SIS'!C68+'[16]2-1-13 SIS'!R68</f>
        <v>2103</v>
      </c>
      <c r="D67" s="162">
        <f>'[17]10.1.13 ALL'!C67</f>
        <v>2108</v>
      </c>
      <c r="E67" s="163">
        <f t="shared" si="1"/>
        <v>5</v>
      </c>
      <c r="F67" s="163">
        <f t="shared" si="2"/>
        <v>5</v>
      </c>
      <c r="G67" s="163">
        <f t="shared" si="3"/>
        <v>0</v>
      </c>
      <c r="H67" s="164">
        <f>'[18]Table 3 Levels 1&amp;2'!AL69</f>
        <v>5652.1730736722093</v>
      </c>
      <c r="I67" s="164">
        <f>'[18]Table 4 Level 3'!P67</f>
        <v>516.08000000000004</v>
      </c>
      <c r="J67" s="164">
        <f t="shared" si="4"/>
        <v>6168.2530736722092</v>
      </c>
      <c r="K67" s="165">
        <f t="shared" si="5"/>
        <v>30841.265368361048</v>
      </c>
      <c r="L67" s="178">
        <f t="shared" si="6"/>
        <v>30841.265368361048</v>
      </c>
      <c r="M67" s="178">
        <f t="shared" si="7"/>
        <v>0</v>
      </c>
    </row>
    <row r="68" spans="1:13" ht="15" hidden="1" thickBot="1">
      <c r="A68" s="402">
        <v>63</v>
      </c>
      <c r="B68" s="161" t="s">
        <v>225</v>
      </c>
      <c r="C68" s="162">
        <f>'[16]2-1-13 SIS'!C69+'[16]2-1-13 SIS'!R69</f>
        <v>2037</v>
      </c>
      <c r="D68" s="166">
        <f>'[17]10.1.13 ALL'!C68</f>
        <v>2043</v>
      </c>
      <c r="E68" s="163">
        <f t="shared" si="1"/>
        <v>6</v>
      </c>
      <c r="F68" s="163">
        <f t="shared" si="2"/>
        <v>6</v>
      </c>
      <c r="G68" s="163">
        <f t="shared" si="3"/>
        <v>0</v>
      </c>
      <c r="H68" s="167">
        <f>'[18]Table 3 Levels 1&amp;2'!AL70</f>
        <v>4362.300753810403</v>
      </c>
      <c r="I68" s="167">
        <f>'[18]Table 4 Level 3'!P68</f>
        <v>756.79</v>
      </c>
      <c r="J68" s="167">
        <f t="shared" si="4"/>
        <v>5119.0907538104029</v>
      </c>
      <c r="K68" s="165">
        <f t="shared" si="5"/>
        <v>30714.544522862416</v>
      </c>
      <c r="L68" s="178">
        <f t="shared" si="6"/>
        <v>30714.544522862416</v>
      </c>
      <c r="M68" s="178">
        <f t="shared" si="7"/>
        <v>0</v>
      </c>
    </row>
    <row r="69" spans="1:13" ht="15" hidden="1" thickBot="1">
      <c r="A69" s="402">
        <v>64</v>
      </c>
      <c r="B69" s="161" t="s">
        <v>226</v>
      </c>
      <c r="C69" s="162">
        <f>'[16]2-1-13 SIS'!C70+'[16]2-1-13 SIS'!R70</f>
        <v>2391</v>
      </c>
      <c r="D69" s="166">
        <f>'[17]10.1.13 ALL'!C69</f>
        <v>2394</v>
      </c>
      <c r="E69" s="163">
        <f t="shared" si="1"/>
        <v>3</v>
      </c>
      <c r="F69" s="163">
        <f t="shared" si="2"/>
        <v>3</v>
      </c>
      <c r="G69" s="163">
        <f t="shared" si="3"/>
        <v>0</v>
      </c>
      <c r="H69" s="167">
        <f>'[18]Table 3 Levels 1&amp;2'!AL71</f>
        <v>5960.2049072003338</v>
      </c>
      <c r="I69" s="167">
        <f>'[18]Table 4 Level 3'!P69</f>
        <v>592.66</v>
      </c>
      <c r="J69" s="167">
        <f t="shared" si="4"/>
        <v>6552.8649072003336</v>
      </c>
      <c r="K69" s="165">
        <f t="shared" si="5"/>
        <v>19658.594721601003</v>
      </c>
      <c r="L69" s="178">
        <f t="shared" si="6"/>
        <v>19658.594721601003</v>
      </c>
      <c r="M69" s="178">
        <f t="shared" si="7"/>
        <v>0</v>
      </c>
    </row>
    <row r="70" spans="1:13" ht="15" hidden="1" thickBot="1">
      <c r="A70" s="403">
        <v>65</v>
      </c>
      <c r="B70" s="169" t="s">
        <v>227</v>
      </c>
      <c r="C70" s="171">
        <f>'[16]2-1-13 SIS'!C71+'[16]2-1-13 SIS'!R71</f>
        <v>8239</v>
      </c>
      <c r="D70" s="170">
        <f>'[17]10.1.13 ALL'!C70</f>
        <v>8118</v>
      </c>
      <c r="E70" s="172">
        <f>D70-C70</f>
        <v>-121</v>
      </c>
      <c r="F70" s="172">
        <f>IF(E70&gt;0,E70,0)</f>
        <v>0</v>
      </c>
      <c r="G70" s="172">
        <f t="shared" ref="G70:G74" si="8">IF(E70&lt;0,E70,0)</f>
        <v>-121</v>
      </c>
      <c r="H70" s="174">
        <f>'[18]Table 3 Levels 1&amp;2'!AL72</f>
        <v>4579.2772303106676</v>
      </c>
      <c r="I70" s="174">
        <f>'[18]Table 4 Level 3'!P70</f>
        <v>829.12</v>
      </c>
      <c r="J70" s="174">
        <f>I70+H70</f>
        <v>5408.3972303106675</v>
      </c>
      <c r="K70" s="175">
        <f>E70*J70</f>
        <v>-654416.06486759079</v>
      </c>
      <c r="L70" s="179">
        <f>IF(K70&gt;0,K70,0)</f>
        <v>0</v>
      </c>
      <c r="M70" s="179">
        <f t="shared" ref="M70:M74" si="9">IF(K70&lt;0,K70,0)</f>
        <v>-654416.06486759079</v>
      </c>
    </row>
    <row r="71" spans="1:13" ht="15" hidden="1" thickBot="1">
      <c r="A71" s="404">
        <v>66</v>
      </c>
      <c r="B71" s="183" t="s">
        <v>228</v>
      </c>
      <c r="C71" s="162">
        <f>'[16]2-1-13 SIS'!C72+'[16]2-1-13 SIS'!R72</f>
        <v>2020</v>
      </c>
      <c r="D71" s="166">
        <f>'[17]10.1.13 ALL'!C71</f>
        <v>1855</v>
      </c>
      <c r="E71" s="163">
        <f>D71-C71</f>
        <v>-165</v>
      </c>
      <c r="F71" s="163">
        <f>IF(E71&gt;0,E71,0)</f>
        <v>0</v>
      </c>
      <c r="G71" s="163">
        <f t="shared" si="8"/>
        <v>-165</v>
      </c>
      <c r="H71" s="167">
        <f>'[18]Table 3 Levels 1&amp;2'!AL73</f>
        <v>6370.8108195713585</v>
      </c>
      <c r="I71" s="167">
        <f>'[18]Table 4 Level 3'!P71</f>
        <v>730.06</v>
      </c>
      <c r="J71" s="167">
        <f>I71+H71</f>
        <v>7100.8708195713589</v>
      </c>
      <c r="K71" s="165">
        <f>E71*J71</f>
        <v>-1171643.6852292742</v>
      </c>
      <c r="L71" s="178">
        <f>IF(K71&gt;0,K71,0)</f>
        <v>0</v>
      </c>
      <c r="M71" s="178">
        <f t="shared" si="9"/>
        <v>-1171643.6852292742</v>
      </c>
    </row>
    <row r="72" spans="1:13" ht="15" hidden="1" thickBot="1">
      <c r="A72" s="402">
        <v>67</v>
      </c>
      <c r="B72" s="161" t="s">
        <v>229</v>
      </c>
      <c r="C72" s="162">
        <f>'[16]2-1-13 SIS'!C73+'[16]2-1-13 SIS'!R73</f>
        <v>5092</v>
      </c>
      <c r="D72" s="162">
        <f>'[17]10.1.13 ALL'!C72</f>
        <v>5302</v>
      </c>
      <c r="E72" s="163">
        <f>D72-C72</f>
        <v>210</v>
      </c>
      <c r="F72" s="163">
        <f>IF(E72&gt;0,E72,0)</f>
        <v>210</v>
      </c>
      <c r="G72" s="163">
        <f t="shared" si="8"/>
        <v>0</v>
      </c>
      <c r="H72" s="164">
        <f>'[18]Table 3 Levels 1&amp;2'!AL74</f>
        <v>4951.6009932106244</v>
      </c>
      <c r="I72" s="164">
        <f>'[18]Table 4 Level 3'!P72</f>
        <v>715.61</v>
      </c>
      <c r="J72" s="164">
        <f>I72+H72</f>
        <v>5667.2109932106241</v>
      </c>
      <c r="K72" s="165">
        <f>E72*J72</f>
        <v>1190114.3085742311</v>
      </c>
      <c r="L72" s="178">
        <f>IF(K72&gt;0,K72,0)</f>
        <v>1190114.3085742311</v>
      </c>
      <c r="M72" s="178">
        <f t="shared" si="9"/>
        <v>0</v>
      </c>
    </row>
    <row r="73" spans="1:13" ht="15" hidden="1" thickBot="1">
      <c r="A73" s="402">
        <v>68</v>
      </c>
      <c r="B73" s="161" t="s">
        <v>230</v>
      </c>
      <c r="C73" s="162">
        <f>'[16]2-1-13 SIS'!C74+'[16]2-1-13 SIS'!R74</f>
        <v>1696</v>
      </c>
      <c r="D73" s="162">
        <f>'[17]10.1.13 ALL'!C73</f>
        <v>1611</v>
      </c>
      <c r="E73" s="163">
        <f>D73-C73</f>
        <v>-85</v>
      </c>
      <c r="F73" s="163">
        <f>IF(E73&gt;0,E73,0)</f>
        <v>0</v>
      </c>
      <c r="G73" s="163">
        <f t="shared" si="8"/>
        <v>-85</v>
      </c>
      <c r="H73" s="164">
        <f>'[18]Table 3 Levels 1&amp;2'!AL75</f>
        <v>6077.2398733698947</v>
      </c>
      <c r="I73" s="164">
        <f>'[18]Table 4 Level 3'!P73</f>
        <v>798.7</v>
      </c>
      <c r="J73" s="164">
        <f>I73+H73</f>
        <v>6875.9398733698945</v>
      </c>
      <c r="K73" s="165">
        <f>E73*J73</f>
        <v>-584454.889236441</v>
      </c>
      <c r="L73" s="178">
        <f>IF(K73&gt;0,K73,0)</f>
        <v>0</v>
      </c>
      <c r="M73" s="178">
        <f t="shared" si="9"/>
        <v>-584454.889236441</v>
      </c>
    </row>
    <row r="74" spans="1:13" ht="15" hidden="1" thickBot="1">
      <c r="A74" s="405">
        <v>69</v>
      </c>
      <c r="B74" s="185" t="s">
        <v>231</v>
      </c>
      <c r="C74" s="162">
        <f>'[16]2-1-13 SIS'!C75+'[16]2-1-13 SIS'!R75</f>
        <v>4184</v>
      </c>
      <c r="D74" s="162">
        <f>'[17]10.1.13 ALL'!C74</f>
        <v>4292</v>
      </c>
      <c r="E74" s="163">
        <f>D74-C74</f>
        <v>108</v>
      </c>
      <c r="F74" s="163">
        <f>IF(E74&gt;0,E74,0)</f>
        <v>108</v>
      </c>
      <c r="G74" s="163">
        <f t="shared" si="8"/>
        <v>0</v>
      </c>
      <c r="H74" s="164">
        <f>'[18]Table 3 Levels 1&amp;2'!AL76</f>
        <v>5585.8253106686579</v>
      </c>
      <c r="I74" s="164">
        <f>'[18]Table 4 Level 3'!P74</f>
        <v>705.67</v>
      </c>
      <c r="J74" s="164">
        <f>I74+H74</f>
        <v>6291.495310668658</v>
      </c>
      <c r="K74" s="165">
        <f>E74*J74</f>
        <v>679481.49355221505</v>
      </c>
      <c r="L74" s="178">
        <f>IF(K74&gt;0,K74,0)</f>
        <v>679481.49355221505</v>
      </c>
      <c r="M74" s="178">
        <f t="shared" si="9"/>
        <v>0</v>
      </c>
    </row>
    <row r="75" spans="1:13" s="190" customFormat="1" ht="15.75" hidden="1" thickBot="1">
      <c r="A75" s="406"/>
      <c r="B75" s="364" t="s">
        <v>232</v>
      </c>
      <c r="C75" s="365">
        <f>SUM(C6:C74)</f>
        <v>636068</v>
      </c>
      <c r="D75" s="365">
        <f>SUM(D6:D74)</f>
        <v>641076</v>
      </c>
      <c r="E75" s="365">
        <f>SUM(E6:E74)</f>
        <v>5008</v>
      </c>
      <c r="F75" s="365">
        <f>SUM(F6:F74)</f>
        <v>7408</v>
      </c>
      <c r="G75" s="365">
        <f>SUM(G6:G74)</f>
        <v>-2400</v>
      </c>
      <c r="H75" s="366"/>
      <c r="I75" s="366"/>
      <c r="J75" s="366"/>
      <c r="K75" s="366">
        <f>SUM(K6:K74)</f>
        <v>22826779.242837369</v>
      </c>
      <c r="L75" s="366">
        <f>SUM(L6:L74)</f>
        <v>36743677.323895454</v>
      </c>
      <c r="M75" s="366">
        <f>SUM(M6:M74)</f>
        <v>-13916898.081058096</v>
      </c>
    </row>
    <row r="76" spans="1:13" ht="6.75" hidden="1" customHeight="1" thickTop="1" thickBot="1">
      <c r="A76" s="407"/>
      <c r="B76" s="192"/>
      <c r="C76" s="193"/>
      <c r="D76" s="193"/>
      <c r="E76" s="193"/>
      <c r="F76" s="193"/>
      <c r="G76" s="193"/>
      <c r="H76" s="194"/>
      <c r="I76" s="194"/>
      <c r="J76" s="194"/>
      <c r="K76" s="194"/>
      <c r="L76" s="194"/>
      <c r="M76" s="194"/>
    </row>
    <row r="77" spans="1:13" ht="12.75" hidden="1" customHeight="1" thickBot="1">
      <c r="A77" s="408"/>
      <c r="B77" s="195" t="s">
        <v>233</v>
      </c>
      <c r="C77" s="196">
        <f>'[18]2-1-13 SIS'!$T$78</f>
        <v>1376</v>
      </c>
      <c r="D77" s="196">
        <f>'[17]10.1.13 ALL'!AE77</f>
        <v>1398</v>
      </c>
      <c r="E77" s="197">
        <f>D77-C77</f>
        <v>22</v>
      </c>
      <c r="F77" s="197">
        <f>IF(E77&gt;0,E77,0)</f>
        <v>22</v>
      </c>
      <c r="G77" s="197">
        <f>IF(E77&lt;0,E77,0)</f>
        <v>0</v>
      </c>
      <c r="H77" s="198">
        <f>'[18]Table 5A Labs, NOCCA,LSMSA'!$C$8</f>
        <v>4355.8307194085073</v>
      </c>
      <c r="I77" s="198">
        <f>'[18]Table 5A Labs, NOCCA,LSMSA'!$E$8</f>
        <v>605.97185873605952</v>
      </c>
      <c r="J77" s="198">
        <f>H77+I77</f>
        <v>4961.8025781445667</v>
      </c>
      <c r="K77" s="199">
        <f>E77*J77</f>
        <v>109159.65671918046</v>
      </c>
      <c r="L77" s="198">
        <f>IF(K77&gt;0,K77,0)</f>
        <v>109159.65671918046</v>
      </c>
      <c r="M77" s="198">
        <f>IF(K77&lt;0,K77,0)</f>
        <v>0</v>
      </c>
    </row>
    <row r="78" spans="1:13" ht="15" hidden="1" thickBot="1">
      <c r="A78" s="405"/>
      <c r="B78" s="200" t="s">
        <v>234</v>
      </c>
      <c r="C78" s="171">
        <f>'[18]2-1-13 SIS'!$U$78</f>
        <v>391</v>
      </c>
      <c r="D78" s="171">
        <f>'[17]10.1.13 ALL'!AF77</f>
        <v>533</v>
      </c>
      <c r="E78" s="172">
        <f>D78-C78</f>
        <v>142</v>
      </c>
      <c r="F78" s="172">
        <f>IF(E78&gt;0,E78,0)</f>
        <v>142</v>
      </c>
      <c r="G78" s="172">
        <f>IF(E78&lt;0,E78,0)</f>
        <v>0</v>
      </c>
      <c r="H78" s="164">
        <f>'[18]Table 5A Labs, NOCCA,LSMSA'!$C$9</f>
        <v>4355.8307194085073</v>
      </c>
      <c r="I78" s="164">
        <f>'[18]Table 5A Labs, NOCCA,LSMSA'!$E$9</f>
        <v>699.89832861189802</v>
      </c>
      <c r="J78" s="173">
        <f>H78+I78</f>
        <v>5055.7290480204056</v>
      </c>
      <c r="K78" s="175">
        <f>E78*J78</f>
        <v>717913.5248188976</v>
      </c>
      <c r="L78" s="173">
        <f>IF(K78&gt;0,K78,0)</f>
        <v>717913.5248188976</v>
      </c>
      <c r="M78" s="173">
        <f>IF(K78&lt;0,K78,0)</f>
        <v>0</v>
      </c>
    </row>
    <row r="79" spans="1:13" s="190" customFormat="1" ht="15.75" hidden="1" thickBot="1">
      <c r="A79" s="409"/>
      <c r="B79" s="364" t="s">
        <v>235</v>
      </c>
      <c r="C79" s="365">
        <f>SUM(C77:C78)</f>
        <v>1767</v>
      </c>
      <c r="D79" s="365">
        <f>SUM(D77:D78)</f>
        <v>1931</v>
      </c>
      <c r="E79" s="365">
        <f>SUM(E77:E78)</f>
        <v>164</v>
      </c>
      <c r="F79" s="365">
        <f>SUM(F77:F78)</f>
        <v>164</v>
      </c>
      <c r="G79" s="365">
        <f>SUM(G77:G78)</f>
        <v>0</v>
      </c>
      <c r="H79" s="366"/>
      <c r="I79" s="366"/>
      <c r="J79" s="366"/>
      <c r="K79" s="366">
        <f>SUM(K77:K78)</f>
        <v>827073.181538078</v>
      </c>
      <c r="L79" s="366">
        <f>SUM(L77:L78)</f>
        <v>827073.181538078</v>
      </c>
      <c r="M79" s="366">
        <f>SUM(M77:M78)</f>
        <v>0</v>
      </c>
    </row>
    <row r="80" spans="1:13" s="206" customFormat="1" ht="6.75" hidden="1" customHeight="1" thickTop="1" thickBot="1">
      <c r="A80" s="410"/>
      <c r="B80" s="203"/>
      <c r="C80" s="204"/>
      <c r="D80" s="204"/>
      <c r="E80" s="204"/>
      <c r="F80" s="204"/>
      <c r="G80" s="204"/>
      <c r="H80" s="205"/>
      <c r="I80" s="205"/>
      <c r="J80" s="205"/>
      <c r="K80" s="205"/>
      <c r="L80" s="205"/>
      <c r="M80" s="205"/>
    </row>
    <row r="81" spans="1:13" s="206" customFormat="1" ht="14.25" hidden="1" customHeight="1" thickBot="1">
      <c r="A81" s="411"/>
      <c r="B81" s="208" t="s">
        <v>236</v>
      </c>
      <c r="C81" s="209">
        <f>'[18]2-1-13 SIS'!$AD$78</f>
        <v>275</v>
      </c>
      <c r="D81" s="209">
        <f>'[17]10.1.13 ALL'!AG77</f>
        <v>298</v>
      </c>
      <c r="E81" s="210">
        <f>D81-C81</f>
        <v>23</v>
      </c>
      <c r="F81" s="209">
        <f>IF(E81&gt;0,E81,0)</f>
        <v>23</v>
      </c>
      <c r="G81" s="210">
        <f>IF(E81&lt;0,E81,0)</f>
        <v>0</v>
      </c>
      <c r="H81" s="211">
        <f>'[18]Table 5A Labs, NOCCA,LSMSA'!$C$19</f>
        <v>4355.8307194085073</v>
      </c>
      <c r="I81" s="211">
        <f>'[18]Table 5A Labs, NOCCA,LSMSA'!$E$19</f>
        <v>704.49059912051428</v>
      </c>
      <c r="J81" s="211">
        <f>H81+I81</f>
        <v>5060.3213185290215</v>
      </c>
      <c r="K81" s="211">
        <f>E81*J81</f>
        <v>116387.3903261675</v>
      </c>
      <c r="L81" s="211">
        <f>IF(K81&gt;0,K81,0)</f>
        <v>116387.3903261675</v>
      </c>
      <c r="M81" s="211">
        <f>IF(K81&lt;0,K81,0)</f>
        <v>0</v>
      </c>
    </row>
    <row r="82" spans="1:13" s="206" customFormat="1" ht="6.75" hidden="1" customHeight="1" thickTop="1" thickBot="1">
      <c r="A82" s="412"/>
      <c r="B82" s="213"/>
      <c r="C82" s="214"/>
      <c r="D82" s="214"/>
      <c r="E82" s="214"/>
      <c r="F82" s="214"/>
      <c r="G82" s="214"/>
      <c r="H82" s="215"/>
      <c r="I82" s="215"/>
      <c r="J82" s="215"/>
      <c r="K82" s="215"/>
      <c r="L82" s="215"/>
      <c r="M82" s="215"/>
    </row>
    <row r="83" spans="1:13" s="206" customFormat="1" ht="14.25" hidden="1" customHeight="1" thickBot="1">
      <c r="A83" s="411"/>
      <c r="B83" s="208" t="s">
        <v>237</v>
      </c>
      <c r="C83" s="209">
        <f>'[18]2-1-13 SIS'!$AE$78</f>
        <v>114</v>
      </c>
      <c r="D83" s="209">
        <f>'[17]10.1.13 ALL'!AH77</f>
        <v>177</v>
      </c>
      <c r="E83" s="210">
        <f>D83-C83</f>
        <v>63</v>
      </c>
      <c r="F83" s="209">
        <f>IF(E83&gt;0,E83,0)</f>
        <v>63</v>
      </c>
      <c r="G83" s="210">
        <f>IF(E83&lt;0,E83,0)</f>
        <v>0</v>
      </c>
      <c r="H83" s="211">
        <f>'[18]Table 5A Labs, NOCCA,LSMSA'!$C$20</f>
        <v>4355.8307194085073</v>
      </c>
      <c r="I83" s="211">
        <f>'[18]Table 5A Labs, NOCCA,LSMSA'!$E$20</f>
        <v>704.49059912051428</v>
      </c>
      <c r="J83" s="211">
        <f>H83+I83</f>
        <v>5060.3213185290215</v>
      </c>
      <c r="K83" s="211">
        <f>E83*J83</f>
        <v>318800.24306732835</v>
      </c>
      <c r="L83" s="211">
        <f>IF(K83&gt;0,K83,0)</f>
        <v>318800.24306732835</v>
      </c>
      <c r="M83" s="211">
        <f>IF(K83&lt;0,K83,0)</f>
        <v>0</v>
      </c>
    </row>
    <row r="84" spans="1:13" s="206" customFormat="1" ht="6.75" hidden="1" customHeight="1" thickTop="1">
      <c r="A84" s="412"/>
      <c r="B84" s="213"/>
      <c r="C84" s="214"/>
      <c r="D84" s="214"/>
      <c r="E84" s="214"/>
      <c r="F84" s="214"/>
      <c r="G84" s="214"/>
      <c r="H84" s="215"/>
      <c r="I84" s="215"/>
      <c r="J84" s="215"/>
      <c r="K84" s="215"/>
      <c r="L84" s="215"/>
      <c r="M84" s="215"/>
    </row>
    <row r="85" spans="1:13" s="206" customFormat="1" ht="14.25" hidden="1" customHeight="1">
      <c r="A85" s="413">
        <v>321</v>
      </c>
      <c r="B85" s="217" t="s">
        <v>238</v>
      </c>
      <c r="C85" s="218">
        <f>'[18]2-1-13 SIS'!$V$78</f>
        <v>319</v>
      </c>
      <c r="D85" s="218">
        <f>'[17]10.1.13 ALL'!G77</f>
        <v>335</v>
      </c>
      <c r="E85" s="219">
        <f t="shared" ref="E85:E93" si="10">D85-C85</f>
        <v>16</v>
      </c>
      <c r="F85" s="218">
        <f t="shared" ref="F85:F93" si="11">IF(E85&gt;0,E85,0)</f>
        <v>16</v>
      </c>
      <c r="G85" s="219">
        <f t="shared" ref="G85:G93" si="12">IF(E85&lt;0,E85,0)</f>
        <v>0</v>
      </c>
      <c r="H85" s="220">
        <f>'[17]February midyear adj '!H85</f>
        <v>9402.2772303106685</v>
      </c>
      <c r="I85" s="220">
        <f>'[18]Table 5D- Legacy Type 2'!F10</f>
        <v>716.29552188552179</v>
      </c>
      <c r="J85" s="220">
        <f>H85+I85</f>
        <v>10118.572752196191</v>
      </c>
      <c r="K85" s="221">
        <f>J85*E85</f>
        <v>161897.16403513905</v>
      </c>
      <c r="L85" s="220">
        <f t="shared" ref="L85:L93" si="13">IF(K85&gt;0,K85,0)</f>
        <v>161897.16403513905</v>
      </c>
      <c r="M85" s="220">
        <f t="shared" ref="M85:M93" si="14">IF(K85&lt;0,K85,0)</f>
        <v>0</v>
      </c>
    </row>
    <row r="86" spans="1:13" s="206" customFormat="1" ht="14.25" hidden="1" customHeight="1">
      <c r="A86" s="414">
        <v>329</v>
      </c>
      <c r="B86" s="223" t="s">
        <v>239</v>
      </c>
      <c r="C86" s="225">
        <f>'[18]2-1-13 SIS'!$W$78</f>
        <v>361</v>
      </c>
      <c r="D86" s="224">
        <f>'[17]10.1.13 ALL'!H77</f>
        <v>367</v>
      </c>
      <c r="E86" s="226">
        <f t="shared" si="10"/>
        <v>6</v>
      </c>
      <c r="F86" s="225">
        <f t="shared" si="11"/>
        <v>6</v>
      </c>
      <c r="G86" s="226">
        <f t="shared" si="12"/>
        <v>0</v>
      </c>
      <c r="H86" s="227">
        <f>'[17]February midyear adj '!H86</f>
        <v>8616.0339872793593</v>
      </c>
      <c r="I86" s="228">
        <f>'[18]Table 5D- Legacy Type 2'!F11</f>
        <v>598.40363440561384</v>
      </c>
      <c r="J86" s="228">
        <f t="shared" ref="J86:J93" si="15">H86+I86</f>
        <v>9214.4376216849723</v>
      </c>
      <c r="K86" s="229">
        <f t="shared" ref="K86:K93" si="16">J86*E86</f>
        <v>55286.625730109838</v>
      </c>
      <c r="L86" s="228">
        <f t="shared" si="13"/>
        <v>55286.625730109838</v>
      </c>
      <c r="M86" s="228">
        <f t="shared" si="14"/>
        <v>0</v>
      </c>
    </row>
    <row r="87" spans="1:13" s="206" customFormat="1" ht="14.25" hidden="1" customHeight="1">
      <c r="A87" s="414">
        <v>331</v>
      </c>
      <c r="B87" s="230" t="s">
        <v>240</v>
      </c>
      <c r="C87" s="225">
        <f>'[18]2-1-13 SIS'!$X$78</f>
        <v>735</v>
      </c>
      <c r="D87" s="224">
        <f>'[17]10.1.13 ALL'!I77-D88</f>
        <v>629</v>
      </c>
      <c r="E87" s="226">
        <f t="shared" si="10"/>
        <v>-106</v>
      </c>
      <c r="F87" s="225">
        <f t="shared" si="11"/>
        <v>0</v>
      </c>
      <c r="G87" s="226">
        <f t="shared" si="12"/>
        <v>-106</v>
      </c>
      <c r="H87" s="227">
        <f>'[17]February midyear adj '!H87</f>
        <v>8188.4894337711748</v>
      </c>
      <c r="I87" s="228">
        <f>'[18]Table 5D- Legacy Type 2'!F12</f>
        <v>714.81015756302509</v>
      </c>
      <c r="J87" s="228">
        <f t="shared" si="15"/>
        <v>8903.2995913342002</v>
      </c>
      <c r="K87" s="229">
        <f t="shared" si="16"/>
        <v>-943749.75668142526</v>
      </c>
      <c r="L87" s="228">
        <f t="shared" si="13"/>
        <v>0</v>
      </c>
      <c r="M87" s="228">
        <f t="shared" si="14"/>
        <v>-943749.75668142526</v>
      </c>
    </row>
    <row r="88" spans="1:13" s="206" customFormat="1" ht="14.25" hidden="1" customHeight="1">
      <c r="A88" s="414">
        <v>331</v>
      </c>
      <c r="B88" s="230" t="s">
        <v>241</v>
      </c>
      <c r="C88" s="225">
        <v>0</v>
      </c>
      <c r="D88" s="224">
        <v>197</v>
      </c>
      <c r="E88" s="226">
        <f t="shared" si="10"/>
        <v>197</v>
      </c>
      <c r="F88" s="225">
        <f t="shared" si="11"/>
        <v>197</v>
      </c>
      <c r="G88" s="226">
        <f t="shared" si="12"/>
        <v>0</v>
      </c>
      <c r="H88" s="227">
        <f>'[17]February midyear adj '!H88</f>
        <v>8953.4894337711739</v>
      </c>
      <c r="I88" s="228">
        <f>'[18]Table 5D- Legacy Type 2'!F13</f>
        <v>536.12413544332276</v>
      </c>
      <c r="J88" s="228">
        <f t="shared" si="15"/>
        <v>9489.6135692144962</v>
      </c>
      <c r="K88" s="229">
        <f t="shared" si="16"/>
        <v>1869453.8731352556</v>
      </c>
      <c r="L88" s="228">
        <f t="shared" si="13"/>
        <v>1869453.8731352556</v>
      </c>
      <c r="M88" s="228">
        <f t="shared" si="14"/>
        <v>0</v>
      </c>
    </row>
    <row r="89" spans="1:13" s="206" customFormat="1" ht="14.25" hidden="1" customHeight="1" thickBot="1">
      <c r="A89" s="414">
        <v>333</v>
      </c>
      <c r="B89" s="223" t="s">
        <v>242</v>
      </c>
      <c r="C89" s="225">
        <f>'[18]2-1-13 SIS'!$Y$78</f>
        <v>694</v>
      </c>
      <c r="D89" s="224">
        <f>'[17]10.1.13 ALL'!J77</f>
        <v>722</v>
      </c>
      <c r="E89" s="226">
        <f t="shared" si="10"/>
        <v>28</v>
      </c>
      <c r="F89" s="225">
        <f t="shared" si="11"/>
        <v>28</v>
      </c>
      <c r="G89" s="226">
        <f t="shared" si="12"/>
        <v>0</v>
      </c>
      <c r="H89" s="227">
        <f>'[17]February midyear adj '!H89</f>
        <v>7072.8166927080074</v>
      </c>
      <c r="I89" s="228">
        <f>'[18]Table 5D- Legacy Type 2'!F13</f>
        <v>536.12413544332276</v>
      </c>
      <c r="J89" s="228">
        <f t="shared" si="15"/>
        <v>7608.9408281513297</v>
      </c>
      <c r="K89" s="229">
        <f t="shared" si="16"/>
        <v>213050.34318823722</v>
      </c>
      <c r="L89" s="228">
        <f t="shared" si="13"/>
        <v>213050.34318823722</v>
      </c>
      <c r="M89" s="228">
        <f t="shared" si="14"/>
        <v>0</v>
      </c>
    </row>
    <row r="90" spans="1:13" s="206" customFormat="1" ht="14.25" hidden="1" customHeight="1" thickBot="1">
      <c r="A90" s="414">
        <v>336</v>
      </c>
      <c r="B90" s="223" t="s">
        <v>243</v>
      </c>
      <c r="C90" s="225">
        <f>'[18]2-1-13 SIS'!$Z$78</f>
        <v>675</v>
      </c>
      <c r="D90" s="224">
        <f>'[17]10.1.13 ALL'!K77</f>
        <v>924</v>
      </c>
      <c r="E90" s="226">
        <f t="shared" si="10"/>
        <v>249</v>
      </c>
      <c r="F90" s="225">
        <f t="shared" si="11"/>
        <v>249</v>
      </c>
      <c r="G90" s="226">
        <f t="shared" si="12"/>
        <v>0</v>
      </c>
      <c r="H90" s="227">
        <f>'[17]February midyear adj '!H90</f>
        <v>8622.4730460987812</v>
      </c>
      <c r="I90" s="228">
        <f>'[18]Table 5D- Legacy Type 2'!F14</f>
        <v>527.02354414153262</v>
      </c>
      <c r="J90" s="228">
        <f t="shared" si="15"/>
        <v>9149.4965902403146</v>
      </c>
      <c r="K90" s="229">
        <f t="shared" si="16"/>
        <v>2278224.6509698383</v>
      </c>
      <c r="L90" s="228">
        <f t="shared" si="13"/>
        <v>2278224.6509698383</v>
      </c>
      <c r="M90" s="228">
        <f t="shared" si="14"/>
        <v>0</v>
      </c>
    </row>
    <row r="91" spans="1:13" s="206" customFormat="1" ht="14.25" hidden="1" customHeight="1" thickBot="1">
      <c r="A91" s="414">
        <v>337</v>
      </c>
      <c r="B91" s="223" t="s">
        <v>244</v>
      </c>
      <c r="C91" s="225">
        <f>'[18]2-1-13 SIS'!$AA$78</f>
        <v>951</v>
      </c>
      <c r="D91" s="224">
        <f>'[17]10.1.13 ALL'!L77</f>
        <v>946</v>
      </c>
      <c r="E91" s="226">
        <f t="shared" si="10"/>
        <v>-5</v>
      </c>
      <c r="F91" s="225">
        <f t="shared" si="11"/>
        <v>0</v>
      </c>
      <c r="G91" s="226">
        <f t="shared" si="12"/>
        <v>-5</v>
      </c>
      <c r="H91" s="227">
        <f>'[17]February midyear adj '!H91</f>
        <v>14713.754527559055</v>
      </c>
      <c r="I91" s="228">
        <f>'[18]Table 5D- Legacy Type 2'!F15</f>
        <v>788.90242015830813</v>
      </c>
      <c r="J91" s="228">
        <f t="shared" si="15"/>
        <v>15502.656947717363</v>
      </c>
      <c r="K91" s="229">
        <f t="shared" si="16"/>
        <v>-77513.284738586823</v>
      </c>
      <c r="L91" s="228">
        <f t="shared" si="13"/>
        <v>0</v>
      </c>
      <c r="M91" s="228">
        <f t="shared" si="14"/>
        <v>-77513.284738586823</v>
      </c>
    </row>
    <row r="92" spans="1:13" s="206" customFormat="1" ht="14.25" hidden="1" customHeight="1" thickBot="1">
      <c r="A92" s="414">
        <v>339</v>
      </c>
      <c r="B92" s="223" t="s">
        <v>245</v>
      </c>
      <c r="C92" s="225">
        <f>'[18]2-1-13 SIS'!$AB$78</f>
        <v>458</v>
      </c>
      <c r="D92" s="224">
        <f>'[17]10.1.13 ALL'!M77</f>
        <v>336</v>
      </c>
      <c r="E92" s="226">
        <f t="shared" si="10"/>
        <v>-122</v>
      </c>
      <c r="F92" s="225">
        <f t="shared" si="11"/>
        <v>0</v>
      </c>
      <c r="G92" s="226">
        <f t="shared" si="12"/>
        <v>-122</v>
      </c>
      <c r="H92" s="227">
        <f>'[17]February midyear adj '!H92</f>
        <v>8953.4894337711739</v>
      </c>
      <c r="I92" s="228">
        <f>'[18]Table 5D- Legacy Type 2'!F16</f>
        <v>705.7643831168831</v>
      </c>
      <c r="J92" s="228">
        <f t="shared" si="15"/>
        <v>9659.2538168880565</v>
      </c>
      <c r="K92" s="229">
        <f t="shared" si="16"/>
        <v>-1178428.9656603429</v>
      </c>
      <c r="L92" s="228">
        <f t="shared" si="13"/>
        <v>0</v>
      </c>
      <c r="M92" s="228">
        <f t="shared" si="14"/>
        <v>-1178428.9656603429</v>
      </c>
    </row>
    <row r="93" spans="1:13" s="206" customFormat="1" ht="14.25" hidden="1" customHeight="1" thickBot="1">
      <c r="A93" s="415">
        <v>340</v>
      </c>
      <c r="B93" s="232" t="s">
        <v>246</v>
      </c>
      <c r="C93" s="234">
        <f>'[18]2-1-13 SIS'!$AC$78</f>
        <v>113</v>
      </c>
      <c r="D93" s="233">
        <f>'[17]10.1.13 ALL'!N77</f>
        <v>116</v>
      </c>
      <c r="E93" s="235">
        <f t="shared" si="10"/>
        <v>3</v>
      </c>
      <c r="F93" s="234">
        <f t="shared" si="11"/>
        <v>3</v>
      </c>
      <c r="G93" s="235">
        <f t="shared" si="12"/>
        <v>0</v>
      </c>
      <c r="H93" s="236">
        <f>'[17]February midyear adj '!H93</f>
        <v>8778.5586133052639</v>
      </c>
      <c r="I93" s="237">
        <f>'[18]Table 5D- Legacy Type 2'!F17</f>
        <v>659.21180998497243</v>
      </c>
      <c r="J93" s="237">
        <f t="shared" si="15"/>
        <v>9437.7704232902361</v>
      </c>
      <c r="K93" s="238">
        <f t="shared" si="16"/>
        <v>28313.311269870708</v>
      </c>
      <c r="L93" s="237">
        <f t="shared" si="13"/>
        <v>28313.311269870708</v>
      </c>
      <c r="M93" s="237">
        <f t="shared" si="14"/>
        <v>0</v>
      </c>
    </row>
    <row r="94" spans="1:13" s="206" customFormat="1" ht="18.75" hidden="1" customHeight="1" thickBot="1">
      <c r="A94" s="414"/>
      <c r="B94" s="239" t="s">
        <v>247</v>
      </c>
      <c r="C94" s="240">
        <f>SUM(C85:C93)</f>
        <v>4306</v>
      </c>
      <c r="D94" s="240">
        <f>SUM(D85:D93)</f>
        <v>4572</v>
      </c>
      <c r="E94" s="241">
        <f>SUM(E85:E93)</f>
        <v>266</v>
      </c>
      <c r="F94" s="240">
        <f>SUM(F85:F93)</f>
        <v>499</v>
      </c>
      <c r="G94" s="241">
        <f>SUM(G85:G93)</f>
        <v>-233</v>
      </c>
      <c r="H94" s="242"/>
      <c r="I94" s="242"/>
      <c r="J94" s="242"/>
      <c r="K94" s="242">
        <f>SUM(K85:K93)</f>
        <v>2406533.9612480951</v>
      </c>
      <c r="L94" s="242">
        <f>SUM(L85:L93)</f>
        <v>4606225.9683284508</v>
      </c>
      <c r="M94" s="242">
        <f>SUM(M85:M93)</f>
        <v>-2199692.0070803552</v>
      </c>
    </row>
    <row r="95" spans="1:13" s="206" customFormat="1" ht="7.5" hidden="1" customHeight="1" thickTop="1">
      <c r="A95" s="412"/>
      <c r="B95" s="244"/>
      <c r="C95" s="245"/>
      <c r="D95" s="245"/>
      <c r="E95" s="246"/>
      <c r="F95" s="245"/>
      <c r="G95" s="246"/>
      <c r="H95" s="247"/>
      <c r="I95" s="247"/>
      <c r="J95" s="247"/>
      <c r="K95" s="247"/>
      <c r="L95" s="247"/>
      <c r="M95" s="246"/>
    </row>
    <row r="96" spans="1:13" s="190" customFormat="1" ht="15.75" hidden="1" customHeight="1" thickBot="1">
      <c r="A96" s="409">
        <v>343001</v>
      </c>
      <c r="B96" s="364" t="s">
        <v>248</v>
      </c>
      <c r="C96" s="379">
        <f>'[17]Oct midyear Madison Prep'!C76</f>
        <v>213</v>
      </c>
      <c r="D96" s="365">
        <f>'[17]Oct midyear Madison Prep'!D76</f>
        <v>276</v>
      </c>
      <c r="E96" s="365">
        <f t="shared" ref="E96:E122" si="17">D96-C96</f>
        <v>63</v>
      </c>
      <c r="F96" s="365">
        <f>IF(E96&gt;0,E96,0)</f>
        <v>63</v>
      </c>
      <c r="G96" s="379">
        <f>IF(E96&lt;0,E96,0)</f>
        <v>0</v>
      </c>
      <c r="H96" s="366"/>
      <c r="I96" s="366"/>
      <c r="J96" s="366"/>
      <c r="K96" s="366">
        <f>'[17]Oct midyear Madison Prep'!K76</f>
        <v>270733.9201613022</v>
      </c>
      <c r="L96" s="366">
        <f t="shared" ref="L96" si="18">IF(K96&gt;0,K96,0)</f>
        <v>270733.9201613022</v>
      </c>
      <c r="M96" s="366">
        <f t="shared" ref="M96" si="19">IF(K96&lt;0,K96,0)</f>
        <v>0</v>
      </c>
    </row>
    <row r="97" spans="1:13" s="190" customFormat="1" ht="9" hidden="1" customHeight="1" thickTop="1">
      <c r="A97" s="416"/>
      <c r="B97" s="251"/>
      <c r="C97" s="253"/>
      <c r="D97" s="252"/>
      <c r="E97" s="254"/>
      <c r="F97" s="254"/>
      <c r="G97" s="255"/>
      <c r="H97" s="256"/>
      <c r="I97" s="256"/>
      <c r="J97" s="256"/>
      <c r="K97" s="257"/>
      <c r="L97" s="257"/>
      <c r="M97" s="257"/>
    </row>
    <row r="98" spans="1:13" s="190" customFormat="1" ht="15.75" hidden="1" thickBot="1">
      <c r="A98" s="409">
        <v>341001</v>
      </c>
      <c r="B98" s="364" t="s">
        <v>249</v>
      </c>
      <c r="C98" s="365">
        <f>'[17]Oct midyear DArbonne'!C77</f>
        <v>548</v>
      </c>
      <c r="D98" s="365">
        <f>'[17]Oct midyear DArbonne'!D77</f>
        <v>723</v>
      </c>
      <c r="E98" s="365">
        <f t="shared" si="17"/>
        <v>175</v>
      </c>
      <c r="F98" s="365">
        <f>IF(E98&gt;0,E98,0)</f>
        <v>175</v>
      </c>
      <c r="G98" s="379">
        <f>IF(E98&lt;0,E98,0)</f>
        <v>0</v>
      </c>
      <c r="H98" s="366"/>
      <c r="I98" s="366"/>
      <c r="J98" s="366"/>
      <c r="K98" s="366">
        <f>'[17]Oct midyear DArbonne'!K77</f>
        <v>974615.33859372954</v>
      </c>
      <c r="L98" s="366">
        <f t="shared" ref="L98" si="20">IF(K98&gt;0,K98,0)</f>
        <v>974615.33859372954</v>
      </c>
      <c r="M98" s="366">
        <f t="shared" ref="M98" si="21">IF(K98&lt;0,K98,0)</f>
        <v>0</v>
      </c>
    </row>
    <row r="99" spans="1:13" s="260" customFormat="1" ht="6.75" hidden="1" customHeight="1" thickTop="1">
      <c r="A99" s="416"/>
      <c r="B99" s="251"/>
      <c r="C99" s="258"/>
      <c r="D99" s="258"/>
      <c r="E99" s="259"/>
      <c r="F99" s="259"/>
      <c r="G99" s="255"/>
      <c r="H99" s="256"/>
      <c r="I99" s="256"/>
      <c r="J99" s="256"/>
      <c r="K99" s="257"/>
      <c r="L99" s="257"/>
      <c r="M99" s="257"/>
    </row>
    <row r="100" spans="1:13" s="190" customFormat="1" ht="15.75" hidden="1" thickBot="1">
      <c r="A100" s="409">
        <v>344001</v>
      </c>
      <c r="B100" s="364" t="s">
        <v>250</v>
      </c>
      <c r="C100" s="365">
        <f>'[17]Oct midyear Intl_VIBE '!C76</f>
        <v>443</v>
      </c>
      <c r="D100" s="365">
        <f>'[17]Oct midyear Intl_VIBE '!D76</f>
        <v>476</v>
      </c>
      <c r="E100" s="365">
        <f t="shared" si="17"/>
        <v>33</v>
      </c>
      <c r="F100" s="365">
        <f>IF(E100&gt;0,E100,0)</f>
        <v>33</v>
      </c>
      <c r="G100" s="379">
        <f>IF(E100&lt;0,E100,0)</f>
        <v>0</v>
      </c>
      <c r="H100" s="366"/>
      <c r="I100" s="366"/>
      <c r="J100" s="366"/>
      <c r="K100" s="366">
        <f>'[17]Oct midyear Intl_VIBE '!K76</f>
        <v>134853.62775013369</v>
      </c>
      <c r="L100" s="366">
        <f t="shared" ref="L100" si="22">IF(K100&gt;0,K100,0)</f>
        <v>134853.62775013369</v>
      </c>
      <c r="M100" s="366">
        <f t="shared" ref="M100" si="23">IF(K100&lt;0,K100,0)</f>
        <v>0</v>
      </c>
    </row>
    <row r="101" spans="1:13" s="190" customFormat="1" ht="6.75" hidden="1" customHeight="1" thickTop="1">
      <c r="A101" s="410"/>
      <c r="B101" s="251"/>
      <c r="C101" s="258"/>
      <c r="D101" s="258"/>
      <c r="E101" s="259"/>
      <c r="F101" s="259"/>
      <c r="G101" s="255"/>
      <c r="H101" s="256"/>
      <c r="I101" s="256"/>
      <c r="J101" s="256"/>
      <c r="K101" s="257"/>
      <c r="L101" s="257"/>
      <c r="M101" s="257"/>
    </row>
    <row r="102" spans="1:13" s="269" customFormat="1" ht="15.75" hidden="1" customHeight="1" thickBot="1">
      <c r="A102" s="417">
        <v>348001</v>
      </c>
      <c r="B102" s="380" t="s">
        <v>251</v>
      </c>
      <c r="C102" s="381">
        <f>'[17]Oct midyear NOMMA'!C76</f>
        <v>224</v>
      </c>
      <c r="D102" s="381">
        <f>'[17]Oct midyear NOMMA'!D76</f>
        <v>360</v>
      </c>
      <c r="E102" s="382">
        <f t="shared" si="17"/>
        <v>136</v>
      </c>
      <c r="F102" s="382">
        <f>IF(E102&gt;0,E102,0)</f>
        <v>136</v>
      </c>
      <c r="G102" s="383">
        <f>IF(E102&lt;0,E102,0)</f>
        <v>0</v>
      </c>
      <c r="H102" s="384"/>
      <c r="I102" s="384"/>
      <c r="J102" s="384"/>
      <c r="K102" s="385">
        <f>'[17]Oct midyear NOMMA'!K76</f>
        <v>563009.13395038503</v>
      </c>
      <c r="L102" s="385">
        <f t="shared" ref="L102" si="24">IF(K102&gt;0,K102,0)</f>
        <v>563009.13395038503</v>
      </c>
      <c r="M102" s="385">
        <f t="shared" ref="M102" si="25">IF(K102&lt;0,K102,0)</f>
        <v>0</v>
      </c>
    </row>
    <row r="103" spans="1:13" s="190" customFormat="1" ht="6.75" hidden="1" customHeight="1" thickTop="1">
      <c r="A103" s="418"/>
      <c r="B103" s="271"/>
      <c r="C103" s="272"/>
      <c r="D103" s="272"/>
      <c r="E103" s="273"/>
      <c r="F103" s="273"/>
      <c r="G103" s="274"/>
      <c r="H103" s="275"/>
      <c r="I103" s="275"/>
      <c r="J103" s="275"/>
      <c r="K103" s="276"/>
      <c r="L103" s="276"/>
      <c r="M103" s="276"/>
    </row>
    <row r="104" spans="1:13" s="269" customFormat="1" ht="15.75" hidden="1" customHeight="1" thickBot="1">
      <c r="A104" s="417">
        <v>347001</v>
      </c>
      <c r="B104" s="380" t="s">
        <v>252</v>
      </c>
      <c r="C104" s="381">
        <f>'[17]Oct midyear LFNO'!C76</f>
        <v>202</v>
      </c>
      <c r="D104" s="381">
        <f>'[17]Oct midyear LFNO'!D76</f>
        <v>305</v>
      </c>
      <c r="E104" s="381">
        <f t="shared" si="17"/>
        <v>103</v>
      </c>
      <c r="F104" s="381">
        <f>IF(E104&gt;0,E104,0)</f>
        <v>103</v>
      </c>
      <c r="G104" s="386">
        <f>IF(E104&lt;0,E104,0)</f>
        <v>0</v>
      </c>
      <c r="H104" s="384"/>
      <c r="I104" s="384"/>
      <c r="J104" s="384"/>
      <c r="K104" s="385">
        <f>'[17]Oct midyear LFNO'!K76</f>
        <v>436655.01154996268</v>
      </c>
      <c r="L104" s="385">
        <f t="shared" ref="L104" si="26">IF(K104&gt;0,K104,0)</f>
        <v>436655.01154996268</v>
      </c>
      <c r="M104" s="385">
        <f t="shared" ref="M104" si="27">IF(K104&lt;0,K104,0)</f>
        <v>0</v>
      </c>
    </row>
    <row r="105" spans="1:13" s="190" customFormat="1" ht="6.75" hidden="1" customHeight="1" thickTop="1">
      <c r="A105" s="419"/>
      <c r="B105" s="271"/>
      <c r="C105" s="272"/>
      <c r="D105" s="272"/>
      <c r="E105" s="273"/>
      <c r="F105" s="273"/>
      <c r="G105" s="274"/>
      <c r="H105" s="275"/>
      <c r="I105" s="275"/>
      <c r="J105" s="275"/>
      <c r="K105" s="276"/>
      <c r="L105" s="276"/>
      <c r="M105" s="276"/>
    </row>
    <row r="106" spans="1:13" s="269" customFormat="1" ht="15.75" hidden="1" customHeight="1" thickBot="1">
      <c r="A106" s="417">
        <v>346001</v>
      </c>
      <c r="B106" s="380" t="s">
        <v>253</v>
      </c>
      <c r="C106" s="381">
        <f>'[17]Oct midyear Lake Charles Chtr'!C76</f>
        <v>755</v>
      </c>
      <c r="D106" s="381">
        <f>'[17]Oct midyear Lake Charles Chtr'!D76</f>
        <v>872</v>
      </c>
      <c r="E106" s="382">
        <f t="shared" si="17"/>
        <v>117</v>
      </c>
      <c r="F106" s="382">
        <f>IF(E106&gt;0,E106,0)</f>
        <v>117</v>
      </c>
      <c r="G106" s="383">
        <f>IF(E106&lt;0,E106,0)</f>
        <v>0</v>
      </c>
      <c r="H106" s="384"/>
      <c r="I106" s="384"/>
      <c r="J106" s="384"/>
      <c r="K106" s="385">
        <f>'[17]Oct midyear Lake Charles Chtr'!K76</f>
        <v>568811.65324221156</v>
      </c>
      <c r="L106" s="385">
        <f t="shared" ref="L106" si="28">IF(K106&gt;0,K106,0)</f>
        <v>568811.65324221156</v>
      </c>
      <c r="M106" s="385">
        <f t="shared" ref="M106" si="29">IF(K106&lt;0,K106,0)</f>
        <v>0</v>
      </c>
    </row>
    <row r="107" spans="1:13" s="269" customFormat="1" ht="5.25" hidden="1" customHeight="1" thickTop="1">
      <c r="A107" s="419"/>
      <c r="B107" s="271"/>
      <c r="C107" s="279"/>
      <c r="D107" s="279"/>
      <c r="E107" s="280"/>
      <c r="F107" s="280"/>
      <c r="G107" s="281"/>
      <c r="H107" s="282"/>
      <c r="I107" s="282"/>
      <c r="J107" s="282"/>
      <c r="K107" s="283"/>
      <c r="L107" s="283"/>
      <c r="M107" s="283"/>
    </row>
    <row r="108" spans="1:13" s="269" customFormat="1" ht="6.75" hidden="1" customHeight="1" thickBot="1">
      <c r="A108" s="417">
        <v>349001</v>
      </c>
      <c r="B108" s="284" t="s">
        <v>254</v>
      </c>
      <c r="C108" s="285">
        <f>'[17]Oct midyear JS Clark Academy'!C76</f>
        <v>168</v>
      </c>
      <c r="D108" s="285">
        <f>'[17]Oct midyear JS Clark Academy'!D76</f>
        <v>196</v>
      </c>
      <c r="E108" s="286">
        <f t="shared" si="17"/>
        <v>28</v>
      </c>
      <c r="F108" s="286">
        <f>IF(E108&gt;0,E108,0)</f>
        <v>28</v>
      </c>
      <c r="G108" s="287">
        <f>IF(E108&lt;0,E108,0)</f>
        <v>0</v>
      </c>
      <c r="H108" s="288"/>
      <c r="I108" s="288"/>
      <c r="J108" s="288"/>
      <c r="K108" s="289">
        <f>'[17]Oct midyear JS Clark Academy'!K76</f>
        <v>153065.75901011607</v>
      </c>
      <c r="L108" s="289">
        <f t="shared" ref="L108" si="30">IF(K108&gt;0,K108,0)</f>
        <v>153065.75901011607</v>
      </c>
      <c r="M108" s="289">
        <f t="shared" ref="M108" si="31">IF(K108&lt;0,K108,0)</f>
        <v>0</v>
      </c>
    </row>
    <row r="109" spans="1:13" s="269" customFormat="1" ht="6" hidden="1" customHeight="1" thickTop="1" thickBot="1">
      <c r="A109" s="417"/>
      <c r="B109" s="290"/>
      <c r="C109" s="279"/>
      <c r="D109" s="279"/>
      <c r="E109" s="280"/>
      <c r="F109" s="280"/>
      <c r="G109" s="281"/>
      <c r="H109" s="282"/>
      <c r="I109" s="282"/>
      <c r="J109" s="282"/>
      <c r="K109" s="283"/>
      <c r="L109" s="283"/>
      <c r="M109" s="283"/>
    </row>
    <row r="110" spans="1:13" s="269" customFormat="1" ht="15.75" hidden="1" customHeight="1" thickTop="1" thickBot="1">
      <c r="A110" s="417">
        <v>328001</v>
      </c>
      <c r="B110" s="291" t="s">
        <v>255</v>
      </c>
      <c r="C110" s="285">
        <f>'[17]Oct midyear Southwest LA Chtr'!C76</f>
        <v>531</v>
      </c>
      <c r="D110" s="285">
        <f>'[17]Oct midyear Southwest LA Chtr'!D76</f>
        <v>679</v>
      </c>
      <c r="E110" s="286">
        <f t="shared" si="17"/>
        <v>148</v>
      </c>
      <c r="F110" s="286">
        <f>IF(E110&gt;0,E110,0)</f>
        <v>148</v>
      </c>
      <c r="G110" s="287">
        <f>IF(E110&lt;0,E110,0)</f>
        <v>0</v>
      </c>
      <c r="H110" s="288"/>
      <c r="I110" s="288"/>
      <c r="J110" s="288"/>
      <c r="K110" s="289">
        <f>'[17]Oct midyear Southwest LA Chtr'!K76</f>
        <v>707424.87564237649</v>
      </c>
      <c r="L110" s="289">
        <f t="shared" ref="L110" si="32">IF(K110&gt;0,K110,0)</f>
        <v>707424.87564237649</v>
      </c>
      <c r="M110" s="289">
        <f t="shared" ref="M110" si="33">IF(K110&lt;0,K110,0)</f>
        <v>0</v>
      </c>
    </row>
    <row r="111" spans="1:13" s="269" customFormat="1" ht="6" hidden="1" customHeight="1" thickTop="1">
      <c r="A111" s="420"/>
      <c r="B111" s="290"/>
      <c r="C111" s="279"/>
      <c r="D111" s="279"/>
      <c r="E111" s="280"/>
      <c r="F111" s="280"/>
      <c r="G111" s="280"/>
      <c r="H111" s="282"/>
      <c r="I111" s="282"/>
      <c r="J111" s="282"/>
      <c r="K111" s="283"/>
      <c r="L111" s="283"/>
      <c r="M111" s="283"/>
    </row>
    <row r="112" spans="1:13" s="269" customFormat="1" ht="15.75" hidden="1" customHeight="1" thickBot="1">
      <c r="A112" s="421" t="s">
        <v>256</v>
      </c>
      <c r="B112" s="291" t="s">
        <v>257</v>
      </c>
      <c r="C112" s="285">
        <f>'[17]Oct midyear Key Academy'!C76</f>
        <v>138</v>
      </c>
      <c r="D112" s="285">
        <f>'[17]Oct midyear Key Academy'!D76</f>
        <v>125</v>
      </c>
      <c r="E112" s="286">
        <f t="shared" si="17"/>
        <v>-13</v>
      </c>
      <c r="F112" s="286">
        <f>IF(E112&gt;0,E112,0)</f>
        <v>0</v>
      </c>
      <c r="G112" s="286">
        <f>IF(E112&lt;0,E112,0)</f>
        <v>-13</v>
      </c>
      <c r="H112" s="288"/>
      <c r="I112" s="288"/>
      <c r="J112" s="288"/>
      <c r="K112" s="289">
        <f>'[17]Oct midyear Key Academy'!K76</f>
        <v>-63764.884117443959</v>
      </c>
      <c r="L112" s="289">
        <f t="shared" ref="L112" si="34">IF(K112&gt;0,K112,0)</f>
        <v>0</v>
      </c>
      <c r="M112" s="289">
        <f t="shared" ref="M112" si="35">IF(K112&lt;0,K112,0)</f>
        <v>-63764.884117443959</v>
      </c>
    </row>
    <row r="113" spans="1:13" s="269" customFormat="1" ht="6" hidden="1" customHeight="1" thickTop="1">
      <c r="A113" s="420"/>
      <c r="B113" s="290"/>
      <c r="C113" s="279"/>
      <c r="D113" s="279"/>
      <c r="E113" s="280"/>
      <c r="F113" s="280"/>
      <c r="G113" s="280"/>
      <c r="H113" s="282"/>
      <c r="I113" s="282"/>
      <c r="J113" s="282"/>
      <c r="K113" s="283"/>
      <c r="L113" s="283"/>
      <c r="M113" s="283"/>
    </row>
    <row r="114" spans="1:13" s="269" customFormat="1" ht="15.75" hidden="1" customHeight="1" thickBot="1">
      <c r="A114" s="421" t="s">
        <v>258</v>
      </c>
      <c r="B114" s="291" t="s">
        <v>259</v>
      </c>
      <c r="C114" s="285">
        <f>'[17]Oct midyear Jefferson Chamber'!C76</f>
        <v>100</v>
      </c>
      <c r="D114" s="285">
        <f>'[17]Oct midyear Jefferson Chamber'!D76</f>
        <v>90</v>
      </c>
      <c r="E114" s="286">
        <f t="shared" si="17"/>
        <v>-10</v>
      </c>
      <c r="F114" s="286">
        <f>IF(E114&gt;0,E114,0)</f>
        <v>0</v>
      </c>
      <c r="G114" s="286">
        <f>IF(E114&lt;0,E114,0)</f>
        <v>-10</v>
      </c>
      <c r="H114" s="288"/>
      <c r="I114" s="288"/>
      <c r="J114" s="288"/>
      <c r="K114" s="289">
        <f>'[17]Oct midyear Jefferson Chamber'!K76</f>
        <v>-40869.266254878094</v>
      </c>
      <c r="L114" s="289">
        <f t="shared" ref="L114" si="36">IF(K114&gt;0,K114,0)</f>
        <v>0</v>
      </c>
      <c r="M114" s="289">
        <f t="shared" ref="M114" si="37">IF(K114&lt;0,K114,0)</f>
        <v>-40869.266254878094</v>
      </c>
    </row>
    <row r="115" spans="1:13" s="269" customFormat="1" ht="6" hidden="1" customHeight="1" thickTop="1">
      <c r="A115" s="420"/>
      <c r="B115" s="290"/>
      <c r="C115" s="279"/>
      <c r="D115" s="279"/>
      <c r="E115" s="280"/>
      <c r="F115" s="280"/>
      <c r="G115" s="280"/>
      <c r="H115" s="282"/>
      <c r="I115" s="282"/>
      <c r="J115" s="282"/>
      <c r="K115" s="283"/>
      <c r="L115" s="283"/>
      <c r="M115" s="283"/>
    </row>
    <row r="116" spans="1:13" s="269" customFormat="1" ht="15.75" hidden="1" customHeight="1" thickBot="1">
      <c r="A116" s="421" t="s">
        <v>260</v>
      </c>
      <c r="B116" s="291" t="s">
        <v>261</v>
      </c>
      <c r="C116" s="285">
        <f>'[17]Oct midyear Tallulah Charter'!C76</f>
        <v>232</v>
      </c>
      <c r="D116" s="285">
        <f>'[17]Oct midyear Tallulah Charter'!D76</f>
        <v>299</v>
      </c>
      <c r="E116" s="286">
        <f t="shared" si="17"/>
        <v>67</v>
      </c>
      <c r="F116" s="286">
        <f>IF(E116&gt;0,E116,0)</f>
        <v>67</v>
      </c>
      <c r="G116" s="286">
        <f>IF(E116&lt;0,E116,0)</f>
        <v>0</v>
      </c>
      <c r="H116" s="288"/>
      <c r="I116" s="288"/>
      <c r="J116" s="288"/>
      <c r="K116" s="289">
        <f>'[17]Oct midyear Tallulah Charter'!K76</f>
        <v>400985.24631766969</v>
      </c>
      <c r="L116" s="289">
        <f t="shared" ref="L116" si="38">IF(K116&gt;0,K116,0)</f>
        <v>400985.24631766969</v>
      </c>
      <c r="M116" s="289">
        <f t="shared" ref="M116" si="39">IF(K116&lt;0,K116,0)</f>
        <v>0</v>
      </c>
    </row>
    <row r="117" spans="1:13" s="269" customFormat="1" ht="6" hidden="1" customHeight="1" thickTop="1">
      <c r="A117" s="420"/>
      <c r="B117" s="290"/>
      <c r="C117" s="279"/>
      <c r="D117" s="279"/>
      <c r="E117" s="280"/>
      <c r="F117" s="280"/>
      <c r="G117" s="280"/>
      <c r="H117" s="282"/>
      <c r="I117" s="282"/>
      <c r="J117" s="282"/>
      <c r="K117" s="283"/>
      <c r="L117" s="283"/>
      <c r="M117" s="283"/>
    </row>
    <row r="118" spans="1:13" s="269" customFormat="1" ht="15.75" hidden="1" customHeight="1" thickBot="1">
      <c r="A118" s="421" t="s">
        <v>262</v>
      </c>
      <c r="B118" s="291" t="s">
        <v>263</v>
      </c>
      <c r="C118" s="285">
        <f>'[17]Oct midyear Northshore Charter'!C76</f>
        <v>230</v>
      </c>
      <c r="D118" s="285">
        <f>'[17]Oct midyear Northshore Charter'!D76</f>
        <v>162</v>
      </c>
      <c r="E118" s="286">
        <f t="shared" si="17"/>
        <v>-68</v>
      </c>
      <c r="F118" s="286">
        <f>IF(E118&gt;0,E118,0)</f>
        <v>0</v>
      </c>
      <c r="G118" s="286">
        <f>IF(E118&lt;0,E118,0)</f>
        <v>-68</v>
      </c>
      <c r="H118" s="288"/>
      <c r="I118" s="288"/>
      <c r="J118" s="288"/>
      <c r="K118" s="289">
        <f>'[17]Oct midyear Northshore Charter'!K76</f>
        <v>-467644.20311030356</v>
      </c>
      <c r="L118" s="289">
        <f t="shared" ref="L118" si="40">IF(K118&gt;0,K118,0)</f>
        <v>0</v>
      </c>
      <c r="M118" s="289">
        <f t="shared" ref="M118" si="41">IF(K118&lt;0,K118,0)</f>
        <v>-467644.20311030356</v>
      </c>
    </row>
    <row r="119" spans="1:13" s="269" customFormat="1" ht="6" hidden="1" customHeight="1" thickTop="1">
      <c r="A119" s="420"/>
      <c r="B119" s="290"/>
      <c r="C119" s="279"/>
      <c r="D119" s="279"/>
      <c r="E119" s="280"/>
      <c r="F119" s="280"/>
      <c r="G119" s="280"/>
      <c r="H119" s="282"/>
      <c r="I119" s="282"/>
      <c r="J119" s="282"/>
      <c r="K119" s="283"/>
      <c r="L119" s="283"/>
      <c r="M119" s="283"/>
    </row>
    <row r="120" spans="1:13" s="269" customFormat="1" ht="15.75" hidden="1" customHeight="1" thickBot="1">
      <c r="A120" s="421" t="s">
        <v>264</v>
      </c>
      <c r="B120" s="291" t="s">
        <v>265</v>
      </c>
      <c r="C120" s="285">
        <f>'[17]Oct midyear B.R. Charter'!C76</f>
        <v>614</v>
      </c>
      <c r="D120" s="285">
        <f>'[17]Oct midyear B.R. Charter'!D76</f>
        <v>504</v>
      </c>
      <c r="E120" s="286">
        <f t="shared" si="17"/>
        <v>-110</v>
      </c>
      <c r="F120" s="286">
        <f>IF(E120&gt;0,E120,0)</f>
        <v>0</v>
      </c>
      <c r="G120" s="286">
        <f>IF(E120&lt;0,E120,0)</f>
        <v>-110</v>
      </c>
      <c r="H120" s="288"/>
      <c r="I120" s="288"/>
      <c r="J120" s="288"/>
      <c r="K120" s="289">
        <f>'[17]Oct midyear B.R. Charter'!K76</f>
        <v>-469168.24180908361</v>
      </c>
      <c r="L120" s="289">
        <f t="shared" ref="L120" si="42">IF(K120&gt;0,K120,0)</f>
        <v>0</v>
      </c>
      <c r="M120" s="289">
        <f t="shared" ref="M120" si="43">IF(K120&lt;0,K120,0)</f>
        <v>-469168.24180908361</v>
      </c>
    </row>
    <row r="121" spans="1:13" s="269" customFormat="1" ht="6" hidden="1" customHeight="1" thickTop="1">
      <c r="A121" s="420"/>
      <c r="B121" s="290"/>
      <c r="C121" s="279"/>
      <c r="D121" s="279"/>
      <c r="E121" s="280"/>
      <c r="F121" s="280"/>
      <c r="G121" s="280"/>
      <c r="H121" s="282"/>
      <c r="I121" s="282"/>
      <c r="J121" s="282"/>
      <c r="K121" s="283"/>
      <c r="L121" s="283"/>
      <c r="M121" s="283"/>
    </row>
    <row r="122" spans="1:13" s="269" customFormat="1" ht="15.75" hidden="1" customHeight="1" thickBot="1">
      <c r="A122" s="421" t="s">
        <v>266</v>
      </c>
      <c r="B122" s="291" t="s">
        <v>267</v>
      </c>
      <c r="C122" s="285">
        <f>'[17]Oct midyear Delta Charter'!C76</f>
        <v>330</v>
      </c>
      <c r="D122" s="285">
        <f>'[17]Oct midyear Delta Charter'!D76</f>
        <v>327</v>
      </c>
      <c r="E122" s="286">
        <f t="shared" si="17"/>
        <v>-3</v>
      </c>
      <c r="F122" s="286">
        <f>IF(E122&gt;0,E122,0)</f>
        <v>0</v>
      </c>
      <c r="G122" s="286">
        <f>IF(E122&lt;0,E122,0)</f>
        <v>-3</v>
      </c>
      <c r="H122" s="288"/>
      <c r="I122" s="288"/>
      <c r="J122" s="288"/>
      <c r="K122" s="289">
        <f>'[17]Oct midyear Delta Charter'!K76</f>
        <v>-15014.510631795034</v>
      </c>
      <c r="L122" s="289">
        <f t="shared" ref="L122" si="44">IF(K122&gt;0,K122,0)</f>
        <v>0</v>
      </c>
      <c r="M122" s="289">
        <f t="shared" ref="M122" si="45">IF(K122&lt;0,K122,0)</f>
        <v>-15014.510631795034</v>
      </c>
    </row>
    <row r="123" spans="1:13" s="269" customFormat="1" ht="6" hidden="1" customHeight="1" thickTop="1">
      <c r="A123" s="420"/>
      <c r="B123" s="290"/>
      <c r="C123" s="279"/>
      <c r="D123" s="279"/>
      <c r="E123" s="294"/>
      <c r="F123" s="294"/>
      <c r="G123" s="294"/>
      <c r="H123" s="282"/>
      <c r="I123" s="282"/>
      <c r="J123" s="282"/>
      <c r="K123" s="282"/>
      <c r="L123" s="282"/>
      <c r="M123" s="282"/>
    </row>
    <row r="124" spans="1:13" s="206" customFormat="1" ht="18.75" hidden="1" customHeight="1" thickBot="1">
      <c r="A124" s="421">
        <v>343002</v>
      </c>
      <c r="B124" s="291" t="s">
        <v>268</v>
      </c>
      <c r="C124" s="285">
        <f>'[17]Oct midyear LA Virtual Admy'!C73</f>
        <v>1130</v>
      </c>
      <c r="D124" s="285">
        <f>'[17]Oct midyear LA Virtual Admy'!D73</f>
        <v>1795</v>
      </c>
      <c r="E124" s="285">
        <f>D124-C124</f>
        <v>665</v>
      </c>
      <c r="F124" s="285">
        <f>IF(E124&gt;0,E124,0)</f>
        <v>665</v>
      </c>
      <c r="G124" s="285">
        <f>IF(E124&lt;0,E124,0)</f>
        <v>0</v>
      </c>
      <c r="H124" s="387"/>
      <c r="I124" s="387"/>
      <c r="J124" s="387"/>
      <c r="K124" s="289">
        <f>'[17]Oct midyear LA Virtual Admy'!K73</f>
        <v>3062637.1850052821</v>
      </c>
      <c r="L124" s="289">
        <f t="shared" ref="L124" si="46">IF(K124&gt;0,K124,0)</f>
        <v>3062637.1850052821</v>
      </c>
      <c r="M124" s="387">
        <f t="shared" ref="M124" si="47">IF(K124&lt;0,K124,0)</f>
        <v>0</v>
      </c>
    </row>
    <row r="125" spans="1:13" s="269" customFormat="1" ht="6" hidden="1" customHeight="1" thickTop="1">
      <c r="A125" s="422"/>
      <c r="B125" s="290"/>
      <c r="C125" s="298"/>
      <c r="D125" s="298"/>
      <c r="E125" s="294"/>
      <c r="F125" s="294"/>
      <c r="G125" s="294"/>
      <c r="H125" s="282"/>
      <c r="I125" s="282"/>
      <c r="J125" s="282"/>
      <c r="K125" s="282"/>
      <c r="L125" s="282"/>
      <c r="M125" s="282"/>
    </row>
    <row r="126" spans="1:13" s="206" customFormat="1" ht="18.75" hidden="1" customHeight="1" thickBot="1">
      <c r="A126" s="421">
        <v>345001</v>
      </c>
      <c r="B126" s="291" t="s">
        <v>269</v>
      </c>
      <c r="C126" s="285">
        <f>'[17]Oct midyear LA Connections'!C73</f>
        <v>1200</v>
      </c>
      <c r="D126" s="285">
        <f>'[17]Oct midyear LA Connections'!D73</f>
        <v>1200</v>
      </c>
      <c r="E126" s="285">
        <f>D126-C126</f>
        <v>0</v>
      </c>
      <c r="F126" s="285">
        <f>IF(E126&gt;0,E126,0)</f>
        <v>0</v>
      </c>
      <c r="G126" s="285">
        <f>IF(E126&lt;0,E126,0)</f>
        <v>0</v>
      </c>
      <c r="H126" s="387"/>
      <c r="I126" s="387"/>
      <c r="J126" s="387"/>
      <c r="K126" s="289">
        <f>'[17]Oct midyear LA Connections'!K73</f>
        <v>-5957.8629076271354</v>
      </c>
      <c r="L126" s="387">
        <f t="shared" ref="L126:L138" si="48">IF(K126&gt;0,K126,0)</f>
        <v>0</v>
      </c>
      <c r="M126" s="289">
        <f t="shared" ref="M126:M138" si="49">IF(K126&lt;0,K126,0)</f>
        <v>-5957.8629076271354</v>
      </c>
    </row>
    <row r="127" spans="1:13" ht="6.75" hidden="1" customHeight="1" thickTop="1">
      <c r="A127" s="423"/>
      <c r="B127" s="301"/>
      <c r="C127" s="302"/>
      <c r="D127" s="302"/>
      <c r="E127" s="302"/>
      <c r="F127" s="302"/>
      <c r="G127" s="302"/>
      <c r="H127" s="303"/>
      <c r="I127" s="303"/>
      <c r="J127" s="303"/>
      <c r="K127" s="303"/>
      <c r="L127" s="303"/>
      <c r="M127" s="303"/>
    </row>
    <row r="128" spans="1:13" ht="18.75" customHeight="1" thickBot="1">
      <c r="A128" s="424">
        <v>396</v>
      </c>
      <c r="B128" s="305" t="s">
        <v>270</v>
      </c>
      <c r="C128" s="306">
        <f>'[18]Table 5B1_RSD_Orleans'!$C$9</f>
        <v>2381</v>
      </c>
      <c r="D128" s="306">
        <f>SUM('[17]10.1.13 RSD Operated by Site'!C5:C10)+'[17]10.1.13 RSD Operated by Site'!C21</f>
        <v>963</v>
      </c>
      <c r="E128" s="307">
        <f t="shared" ref="E128:E138" si="50">D128-C128</f>
        <v>-1418</v>
      </c>
      <c r="F128" s="307">
        <f t="shared" ref="F128:F138" si="51">IF(E128&gt;0,E128,0)</f>
        <v>0</v>
      </c>
      <c r="G128" s="307">
        <f t="shared" ref="G128:G138" si="52">IF(E128&lt;0,E128,0)</f>
        <v>-1418</v>
      </c>
      <c r="H128" s="178">
        <f>H41</f>
        <v>3520.4894337711748</v>
      </c>
      <c r="I128" s="178">
        <f>'[18]Table 5B1_RSD_Orleans'!$F$9</f>
        <v>797.0524448632965</v>
      </c>
      <c r="J128" s="178">
        <f t="shared" ref="J128:J138" si="53">H128+I128</f>
        <v>4317.5418786344717</v>
      </c>
      <c r="K128" s="165">
        <f t="shared" ref="K128:K138" si="54">E128*J128</f>
        <v>-6122274.3839036813</v>
      </c>
      <c r="L128" s="178">
        <f t="shared" si="48"/>
        <v>0</v>
      </c>
      <c r="M128" s="178">
        <f t="shared" si="49"/>
        <v>-6122274.3839036813</v>
      </c>
    </row>
    <row r="129" spans="1:13" ht="11.25" hidden="1" customHeight="1" thickBot="1">
      <c r="A129" s="424">
        <v>396200</v>
      </c>
      <c r="B129" s="308" t="s">
        <v>271</v>
      </c>
      <c r="C129" s="309">
        <f>'[18]Table 5B2_RSD_LA'!$C$35</f>
        <v>316</v>
      </c>
      <c r="D129" s="309">
        <f>'[17]10.1.13 RSD Operated by Site'!C11</f>
        <v>292</v>
      </c>
      <c r="E129" s="310">
        <f t="shared" si="50"/>
        <v>-24</v>
      </c>
      <c r="F129" s="310">
        <f t="shared" si="51"/>
        <v>0</v>
      </c>
      <c r="G129" s="310">
        <f t="shared" si="52"/>
        <v>-24</v>
      </c>
      <c r="H129" s="311">
        <f>H51</f>
        <v>5644.6599115241634</v>
      </c>
      <c r="I129" s="311">
        <f>'[18]Table 5B2_RSD_LA'!$F$35</f>
        <v>728.06</v>
      </c>
      <c r="J129" s="311">
        <f t="shared" si="53"/>
        <v>6372.7199115241638</v>
      </c>
      <c r="K129" s="312">
        <f t="shared" si="54"/>
        <v>-152945.27787657993</v>
      </c>
      <c r="L129" s="311">
        <f t="shared" si="48"/>
        <v>0</v>
      </c>
      <c r="M129" s="311">
        <f t="shared" si="49"/>
        <v>-152945.27787657993</v>
      </c>
    </row>
    <row r="130" spans="1:13" ht="15" hidden="1" thickBot="1">
      <c r="A130" s="424">
        <v>396201</v>
      </c>
      <c r="B130" s="313" t="s">
        <v>272</v>
      </c>
      <c r="C130" s="306">
        <f>'[18]Table 5B2_RSD_LA'!$C$28</f>
        <v>147</v>
      </c>
      <c r="D130" s="306">
        <f>'[17]10.1.13 RSD Operated by Site'!C12</f>
        <v>141</v>
      </c>
      <c r="E130" s="307">
        <f t="shared" si="50"/>
        <v>-6</v>
      </c>
      <c r="F130" s="307">
        <f t="shared" si="51"/>
        <v>0</v>
      </c>
      <c r="G130" s="307">
        <f t="shared" si="52"/>
        <v>-6</v>
      </c>
      <c r="H130" s="178">
        <f>H14</f>
        <v>4395.6154516889328</v>
      </c>
      <c r="I130" s="178">
        <f>'[18]Table 5B2_RSD_LA'!$F$28</f>
        <v>744.76</v>
      </c>
      <c r="J130" s="178">
        <f t="shared" si="53"/>
        <v>5140.375451688933</v>
      </c>
      <c r="K130" s="165">
        <f t="shared" si="54"/>
        <v>-30842.252710133598</v>
      </c>
      <c r="L130" s="178">
        <f t="shared" si="48"/>
        <v>0</v>
      </c>
      <c r="M130" s="178">
        <f t="shared" si="49"/>
        <v>-30842.252710133598</v>
      </c>
    </row>
    <row r="131" spans="1:13" ht="15" hidden="1" thickBot="1">
      <c r="A131" s="424">
        <v>396202</v>
      </c>
      <c r="B131" s="314" t="s">
        <v>273</v>
      </c>
      <c r="C131" s="309">
        <f>'[18]Table 5B2_RSD_LA'!$C$16</f>
        <v>239</v>
      </c>
      <c r="D131" s="309">
        <f>'[17]10.1.13 RSD Operated by Site'!C13</f>
        <v>234</v>
      </c>
      <c r="E131" s="310">
        <f t="shared" si="50"/>
        <v>-5</v>
      </c>
      <c r="F131" s="310">
        <f t="shared" si="51"/>
        <v>0</v>
      </c>
      <c r="G131" s="310">
        <f t="shared" si="52"/>
        <v>-5</v>
      </c>
      <c r="H131" s="311">
        <f>$H$22</f>
        <v>3313.0666313017805</v>
      </c>
      <c r="I131" s="311">
        <f>'[18]Table 5B2_RSD_LA'!$F$16</f>
        <v>801.47762416806802</v>
      </c>
      <c r="J131" s="311">
        <f t="shared" si="53"/>
        <v>4114.5442554698484</v>
      </c>
      <c r="K131" s="312">
        <f t="shared" si="54"/>
        <v>-20572.721277349243</v>
      </c>
      <c r="L131" s="311">
        <f t="shared" si="48"/>
        <v>0</v>
      </c>
      <c r="M131" s="311">
        <f t="shared" si="49"/>
        <v>-20572.721277349243</v>
      </c>
    </row>
    <row r="132" spans="1:13" ht="15" hidden="1" thickBot="1">
      <c r="A132" s="424">
        <v>396204</v>
      </c>
      <c r="B132" s="315" t="s">
        <v>274</v>
      </c>
      <c r="C132" s="309">
        <f>'[18]Table 5B2_RSD_LA'!$C$15</f>
        <v>332</v>
      </c>
      <c r="D132" s="309">
        <f>'[17]10.1.13 RSD Operated by Site'!C14</f>
        <v>257</v>
      </c>
      <c r="E132" s="310">
        <f t="shared" si="50"/>
        <v>-75</v>
      </c>
      <c r="F132" s="310">
        <f t="shared" si="51"/>
        <v>0</v>
      </c>
      <c r="G132" s="310">
        <f t="shared" si="52"/>
        <v>-75</v>
      </c>
      <c r="H132" s="311">
        <f t="shared" ref="H132:H138" si="55">$H$22</f>
        <v>3313.0666313017805</v>
      </c>
      <c r="I132" s="311">
        <f>'[18]Table 5B2_RSD_LA'!$F$15</f>
        <v>801.47762416806802</v>
      </c>
      <c r="J132" s="311">
        <f t="shared" si="53"/>
        <v>4114.5442554698484</v>
      </c>
      <c r="K132" s="312">
        <f t="shared" si="54"/>
        <v>-308590.81916023861</v>
      </c>
      <c r="L132" s="311">
        <f t="shared" si="48"/>
        <v>0</v>
      </c>
      <c r="M132" s="311">
        <f t="shared" si="49"/>
        <v>-308590.81916023861</v>
      </c>
    </row>
    <row r="133" spans="1:13" ht="15" hidden="1" thickBot="1">
      <c r="A133" s="424">
        <v>396205</v>
      </c>
      <c r="B133" s="315" t="s">
        <v>275</v>
      </c>
      <c r="C133" s="309">
        <f>'[18]Table 5B2_RSD_LA'!$C$11</f>
        <v>202</v>
      </c>
      <c r="D133" s="309">
        <f>'[17]10.1.13 RSD Operated by Site'!C15</f>
        <v>188</v>
      </c>
      <c r="E133" s="310">
        <f t="shared" si="50"/>
        <v>-14</v>
      </c>
      <c r="F133" s="310">
        <f t="shared" si="51"/>
        <v>0</v>
      </c>
      <c r="G133" s="310">
        <f t="shared" si="52"/>
        <v>-14</v>
      </c>
      <c r="H133" s="311">
        <f t="shared" si="55"/>
        <v>3313.0666313017805</v>
      </c>
      <c r="I133" s="311">
        <f>'[18]Table 5B2_RSD_LA'!$F$11</f>
        <v>801.47762416806802</v>
      </c>
      <c r="J133" s="311">
        <f t="shared" si="53"/>
        <v>4114.5442554698484</v>
      </c>
      <c r="K133" s="312">
        <f t="shared" si="54"/>
        <v>-57603.619576577876</v>
      </c>
      <c r="L133" s="311">
        <f t="shared" si="48"/>
        <v>0</v>
      </c>
      <c r="M133" s="311">
        <f t="shared" si="49"/>
        <v>-57603.619576577876</v>
      </c>
    </row>
    <row r="134" spans="1:13" ht="15" hidden="1" thickBot="1">
      <c r="A134" s="424">
        <v>396206</v>
      </c>
      <c r="B134" s="315" t="s">
        <v>276</v>
      </c>
      <c r="C134" s="309">
        <f>'[18]Table 5B2_RSD_LA'!$C$12</f>
        <v>209</v>
      </c>
      <c r="D134" s="309">
        <f>'[17]10.1.13 RSD Operated by Site'!C16</f>
        <v>133</v>
      </c>
      <c r="E134" s="310">
        <f t="shared" si="50"/>
        <v>-76</v>
      </c>
      <c r="F134" s="310">
        <f t="shared" si="51"/>
        <v>0</v>
      </c>
      <c r="G134" s="310">
        <f t="shared" si="52"/>
        <v>-76</v>
      </c>
      <c r="H134" s="311">
        <f t="shared" si="55"/>
        <v>3313.0666313017805</v>
      </c>
      <c r="I134" s="311">
        <f>'[18]Table 5B2_RSD_LA'!$F$12</f>
        <v>801.47762416806802</v>
      </c>
      <c r="J134" s="311">
        <f t="shared" si="53"/>
        <v>4114.5442554698484</v>
      </c>
      <c r="K134" s="312">
        <f t="shared" si="54"/>
        <v>-312705.36341570847</v>
      </c>
      <c r="L134" s="311">
        <f t="shared" si="48"/>
        <v>0</v>
      </c>
      <c r="M134" s="311">
        <f t="shared" si="49"/>
        <v>-312705.36341570847</v>
      </c>
    </row>
    <row r="135" spans="1:13" ht="15" hidden="1" thickBot="1">
      <c r="A135" s="424">
        <v>396207</v>
      </c>
      <c r="B135" s="315" t="s">
        <v>277</v>
      </c>
      <c r="C135" s="309">
        <f>'[18]Table 5B2_RSD_LA'!$C$23</f>
        <v>231</v>
      </c>
      <c r="D135" s="309">
        <f>'[17]10.1.13 RSD Operated by Site'!C17</f>
        <v>185</v>
      </c>
      <c r="E135" s="310">
        <f t="shared" si="50"/>
        <v>-46</v>
      </c>
      <c r="F135" s="310">
        <f t="shared" si="51"/>
        <v>0</v>
      </c>
      <c r="G135" s="310">
        <f t="shared" si="52"/>
        <v>-46</v>
      </c>
      <c r="H135" s="311">
        <f>H44</f>
        <v>3639.9942778062696</v>
      </c>
      <c r="I135" s="311">
        <f>'[18]Table 5B2_RSD_LA'!$F$23</f>
        <v>779.65573042776441</v>
      </c>
      <c r="J135" s="311">
        <f t="shared" si="53"/>
        <v>4419.6500082340335</v>
      </c>
      <c r="K135" s="312">
        <f t="shared" si="54"/>
        <v>-203303.90037876554</v>
      </c>
      <c r="L135" s="311">
        <f t="shared" si="48"/>
        <v>0</v>
      </c>
      <c r="M135" s="311">
        <f t="shared" si="49"/>
        <v>-203303.90037876554</v>
      </c>
    </row>
    <row r="136" spans="1:13" ht="15" hidden="1" thickBot="1">
      <c r="A136" s="424">
        <v>396208</v>
      </c>
      <c r="B136" s="315" t="s">
        <v>278</v>
      </c>
      <c r="C136" s="309">
        <f>'[18]Table 5B2_RSD_LA'!$C$13</f>
        <v>266</v>
      </c>
      <c r="D136" s="309">
        <f>'[17]10.1.13 RSD Operated by Site'!C18</f>
        <v>322</v>
      </c>
      <c r="E136" s="310">
        <f t="shared" si="50"/>
        <v>56</v>
      </c>
      <c r="F136" s="310">
        <f t="shared" si="51"/>
        <v>56</v>
      </c>
      <c r="G136" s="310">
        <f t="shared" si="52"/>
        <v>0</v>
      </c>
      <c r="H136" s="311">
        <f t="shared" si="55"/>
        <v>3313.0666313017805</v>
      </c>
      <c r="I136" s="311">
        <f>'[18]Table 5B2_RSD_LA'!$F$13</f>
        <v>801.47762416806802</v>
      </c>
      <c r="J136" s="311">
        <f t="shared" si="53"/>
        <v>4114.5442554698484</v>
      </c>
      <c r="K136" s="312">
        <f t="shared" si="54"/>
        <v>230414.4783063115</v>
      </c>
      <c r="L136" s="311">
        <f t="shared" si="48"/>
        <v>230414.4783063115</v>
      </c>
      <c r="M136" s="311">
        <f t="shared" si="49"/>
        <v>0</v>
      </c>
    </row>
    <row r="137" spans="1:13" ht="15" hidden="1" thickBot="1">
      <c r="A137" s="424">
        <v>396209</v>
      </c>
      <c r="B137" s="315" t="s">
        <v>279</v>
      </c>
      <c r="C137" s="309">
        <f>'[18]Table 5B2_RSD_LA'!$C$14</f>
        <v>338</v>
      </c>
      <c r="D137" s="309">
        <f>'[17]10.1.13 RSD Operated by Site'!C19</f>
        <v>372</v>
      </c>
      <c r="E137" s="310">
        <f t="shared" si="50"/>
        <v>34</v>
      </c>
      <c r="F137" s="310">
        <f t="shared" si="51"/>
        <v>34</v>
      </c>
      <c r="G137" s="310">
        <f t="shared" si="52"/>
        <v>0</v>
      </c>
      <c r="H137" s="311">
        <f t="shared" si="55"/>
        <v>3313.0666313017805</v>
      </c>
      <c r="I137" s="311">
        <f>'[18]Table 5B2_RSD_LA'!$F$14</f>
        <v>801.47762416806802</v>
      </c>
      <c r="J137" s="311">
        <f t="shared" si="53"/>
        <v>4114.5442554698484</v>
      </c>
      <c r="K137" s="312">
        <f t="shared" si="54"/>
        <v>139894.50468597485</v>
      </c>
      <c r="L137" s="311">
        <f t="shared" si="48"/>
        <v>139894.50468597485</v>
      </c>
      <c r="M137" s="311">
        <f t="shared" si="49"/>
        <v>0</v>
      </c>
    </row>
    <row r="138" spans="1:13" ht="15" hidden="1" thickBot="1">
      <c r="A138" s="424">
        <v>396210</v>
      </c>
      <c r="B138" s="315" t="s">
        <v>280</v>
      </c>
      <c r="C138" s="309">
        <f>'[18]Table 5B2_RSD_LA'!$C$10</f>
        <v>165</v>
      </c>
      <c r="D138" s="309">
        <f>'[17]10.1.13 RSD Operated by Site'!C20</f>
        <v>157</v>
      </c>
      <c r="E138" s="310">
        <f t="shared" si="50"/>
        <v>-8</v>
      </c>
      <c r="F138" s="310">
        <f t="shared" si="51"/>
        <v>0</v>
      </c>
      <c r="G138" s="310">
        <f t="shared" si="52"/>
        <v>-8</v>
      </c>
      <c r="H138" s="311">
        <f t="shared" si="55"/>
        <v>3313.0666313017805</v>
      </c>
      <c r="I138" s="311">
        <f>'[18]Table 5B2_RSD_LA'!$F$10</f>
        <v>801.47762416806802</v>
      </c>
      <c r="J138" s="311">
        <f t="shared" si="53"/>
        <v>4114.5442554698484</v>
      </c>
      <c r="K138" s="312">
        <f t="shared" si="54"/>
        <v>-32916.354043758787</v>
      </c>
      <c r="L138" s="311">
        <f t="shared" si="48"/>
        <v>0</v>
      </c>
      <c r="M138" s="311">
        <f t="shared" si="49"/>
        <v>-32916.354043758787</v>
      </c>
    </row>
    <row r="139" spans="1:13" s="190" customFormat="1" ht="15" hidden="1" customHeight="1" thickBot="1">
      <c r="A139" s="406"/>
      <c r="B139" s="364" t="s">
        <v>281</v>
      </c>
      <c r="C139" s="365">
        <f>SUM(C128:C138)</f>
        <v>4826</v>
      </c>
      <c r="D139" s="365">
        <f>SUM(D128:D138)</f>
        <v>3244</v>
      </c>
      <c r="E139" s="365">
        <f>SUM(E128:E138)</f>
        <v>-1582</v>
      </c>
      <c r="F139" s="365">
        <f>SUM(F128:F138)</f>
        <v>90</v>
      </c>
      <c r="G139" s="365">
        <f>SUM(G128:G138)</f>
        <v>-1672</v>
      </c>
      <c r="H139" s="366"/>
      <c r="I139" s="366"/>
      <c r="J139" s="366"/>
      <c r="K139" s="366">
        <f>SUM(K128:K138)</f>
        <v>-6871445.7093505086</v>
      </c>
      <c r="L139" s="366">
        <f>SUM(L128:L138)</f>
        <v>370308.98299228633</v>
      </c>
      <c r="M139" s="366">
        <f>SUM(M128:M138)</f>
        <v>-7241754.6923427945</v>
      </c>
    </row>
    <row r="140" spans="1:13" ht="6.75" customHeight="1" thickTop="1">
      <c r="A140" s="425"/>
      <c r="B140" s="317"/>
      <c r="C140" s="318"/>
      <c r="D140" s="318"/>
      <c r="E140" s="319"/>
      <c r="F140" s="319"/>
      <c r="G140" s="319"/>
      <c r="H140" s="320"/>
      <c r="I140" s="320"/>
      <c r="J140" s="320"/>
      <c r="K140" s="320"/>
      <c r="L140" s="320"/>
      <c r="M140" s="320"/>
    </row>
    <row r="141" spans="1:13" s="206" customFormat="1" ht="14.25" customHeight="1">
      <c r="A141" s="426">
        <v>300001</v>
      </c>
      <c r="B141" s="322" t="s">
        <v>359</v>
      </c>
      <c r="C141" s="162">
        <f>'[18]Table 5B1_RSD_Orleans'!C12</f>
        <v>398</v>
      </c>
      <c r="D141" s="162">
        <f>'[17]10.1.13 Type 5 Charters by Site'!D5</f>
        <v>372</v>
      </c>
      <c r="E141" s="163">
        <f t="shared" ref="E141:E197" si="56">D141-C141</f>
        <v>-26</v>
      </c>
      <c r="F141" s="163">
        <f t="shared" ref="F141:F197" si="57">IF(E141&gt;0,E141,0)</f>
        <v>0</v>
      </c>
      <c r="G141" s="163">
        <f t="shared" ref="G141:G197" si="58">IF(E141&lt;0,E141,0)</f>
        <v>-26</v>
      </c>
      <c r="H141" s="164">
        <f>'[18]Table 5B1_RSD_Orleans'!D12</f>
        <v>3520.4894337711748</v>
      </c>
      <c r="I141" s="164">
        <f>'[18]Table 5B1_RSD_Orleans'!F12</f>
        <v>767.72184717013943</v>
      </c>
      <c r="J141" s="164">
        <f t="shared" ref="J141:J197" si="59">H141+I141</f>
        <v>4288.2112809413138</v>
      </c>
      <c r="K141" s="165">
        <f t="shared" ref="K141:K197" si="60">E141*J141</f>
        <v>-111493.49330447416</v>
      </c>
      <c r="L141" s="164">
        <f t="shared" ref="L141:L197" si="61">IF(K141&gt;0,K141,0)</f>
        <v>0</v>
      </c>
      <c r="M141" s="164">
        <f t="shared" ref="M141:M197" si="62">IF(K141&lt;0,K141,0)</f>
        <v>-111493.49330447416</v>
      </c>
    </row>
    <row r="142" spans="1:13" s="206" customFormat="1" ht="14.25" customHeight="1">
      <c r="A142" s="426">
        <v>300002</v>
      </c>
      <c r="B142" s="323" t="s">
        <v>360</v>
      </c>
      <c r="C142" s="162">
        <f>'[18]Table 5B1_RSD_Orleans'!C13</f>
        <v>456</v>
      </c>
      <c r="D142" s="162">
        <f>'[17]10.1.13 Type 5 Charters by Site'!D6</f>
        <v>489</v>
      </c>
      <c r="E142" s="163">
        <f t="shared" si="56"/>
        <v>33</v>
      </c>
      <c r="F142" s="163">
        <f t="shared" si="57"/>
        <v>33</v>
      </c>
      <c r="G142" s="163">
        <f t="shared" si="58"/>
        <v>0</v>
      </c>
      <c r="H142" s="164">
        <f>'[18]Table 5B1_RSD_Orleans'!D13</f>
        <v>3520.4894337711748</v>
      </c>
      <c r="I142" s="164">
        <f>'[18]Table 5B1_RSD_Orleans'!F13</f>
        <v>730.66950653120466</v>
      </c>
      <c r="J142" s="164">
        <f t="shared" si="59"/>
        <v>4251.1589403023791</v>
      </c>
      <c r="K142" s="165">
        <f t="shared" si="60"/>
        <v>140288.24502997851</v>
      </c>
      <c r="L142" s="164">
        <f t="shared" si="61"/>
        <v>140288.24502997851</v>
      </c>
      <c r="M142" s="164">
        <f t="shared" si="62"/>
        <v>0</v>
      </c>
    </row>
    <row r="143" spans="1:13" s="206" customFormat="1" ht="14.25" customHeight="1">
      <c r="A143" s="426">
        <v>300003</v>
      </c>
      <c r="B143" s="323" t="s">
        <v>361</v>
      </c>
      <c r="C143" s="162">
        <f>'[18]Table 5B1_RSD_Orleans'!C14</f>
        <v>658</v>
      </c>
      <c r="D143" s="166">
        <f>'[17]10.1.13 Type 5 Charters by Site'!D7</f>
        <v>666</v>
      </c>
      <c r="E143" s="163">
        <f t="shared" si="56"/>
        <v>8</v>
      </c>
      <c r="F143" s="163">
        <f t="shared" si="57"/>
        <v>8</v>
      </c>
      <c r="G143" s="163">
        <f t="shared" si="58"/>
        <v>0</v>
      </c>
      <c r="H143" s="167">
        <f>'[18]Table 5B1_RSD_Orleans'!D14</f>
        <v>3520.4894337711748</v>
      </c>
      <c r="I143" s="167">
        <f>'[18]Table 5B1_RSD_Orleans'!F14</f>
        <v>767.72184717013943</v>
      </c>
      <c r="J143" s="167">
        <f t="shared" si="59"/>
        <v>4288.2112809413138</v>
      </c>
      <c r="K143" s="165">
        <f t="shared" si="60"/>
        <v>34305.690247530511</v>
      </c>
      <c r="L143" s="167">
        <f t="shared" si="61"/>
        <v>34305.690247530511</v>
      </c>
      <c r="M143" s="167">
        <f t="shared" si="62"/>
        <v>0</v>
      </c>
    </row>
    <row r="144" spans="1:13" s="206" customFormat="1" ht="14.25" customHeight="1">
      <c r="A144" s="427">
        <v>300004</v>
      </c>
      <c r="B144" s="323" t="s">
        <v>362</v>
      </c>
      <c r="C144" s="162">
        <f>'[18]Table 5B1_RSD_Orleans'!C15</f>
        <v>412</v>
      </c>
      <c r="D144" s="166">
        <f>'[17]10.1.13 Type 5 Charters by Site'!D8</f>
        <v>432</v>
      </c>
      <c r="E144" s="163">
        <f t="shared" si="56"/>
        <v>20</v>
      </c>
      <c r="F144" s="163">
        <f t="shared" si="57"/>
        <v>20</v>
      </c>
      <c r="G144" s="163">
        <f t="shared" si="58"/>
        <v>0</v>
      </c>
      <c r="H144" s="167">
        <f>'[18]Table 5B1_RSD_Orleans'!D15</f>
        <v>3520.4894337711748</v>
      </c>
      <c r="I144" s="167">
        <f>'[18]Table 5B1_RSD_Orleans'!F15</f>
        <v>746.0335616438357</v>
      </c>
      <c r="J144" s="167">
        <f t="shared" si="59"/>
        <v>4266.5229954150109</v>
      </c>
      <c r="K144" s="165">
        <f t="shared" si="60"/>
        <v>85330.459908300225</v>
      </c>
      <c r="L144" s="167">
        <f t="shared" si="61"/>
        <v>85330.459908300225</v>
      </c>
      <c r="M144" s="167">
        <f t="shared" si="62"/>
        <v>0</v>
      </c>
    </row>
    <row r="145" spans="1:13" s="206" customFormat="1" ht="14.25" customHeight="1">
      <c r="A145" s="428">
        <v>360001</v>
      </c>
      <c r="B145" s="327" t="s">
        <v>286</v>
      </c>
      <c r="C145" s="171">
        <f>'[18]Table 5B1_RSD_Orleans'!C16</f>
        <v>156</v>
      </c>
      <c r="D145" s="170">
        <f>'[17]10.1.13 Type 5 Charters by Site'!D9</f>
        <v>159</v>
      </c>
      <c r="E145" s="172">
        <f t="shared" si="56"/>
        <v>3</v>
      </c>
      <c r="F145" s="172">
        <f t="shared" si="57"/>
        <v>3</v>
      </c>
      <c r="G145" s="172">
        <f t="shared" si="58"/>
        <v>0</v>
      </c>
      <c r="H145" s="174">
        <f>'[18]Table 5B1_RSD_Orleans'!D16</f>
        <v>3520.4894337711748</v>
      </c>
      <c r="I145" s="174">
        <f>'[18]Table 5B1_RSD_Orleans'!F16</f>
        <v>746.0335616438357</v>
      </c>
      <c r="J145" s="174">
        <f t="shared" si="59"/>
        <v>4266.5229954150109</v>
      </c>
      <c r="K145" s="175">
        <f t="shared" si="60"/>
        <v>12799.568986245033</v>
      </c>
      <c r="L145" s="174">
        <f t="shared" si="61"/>
        <v>12799.568986245033</v>
      </c>
      <c r="M145" s="174">
        <f t="shared" si="62"/>
        <v>0</v>
      </c>
    </row>
    <row r="146" spans="1:13" s="206" customFormat="1" ht="14.25" customHeight="1">
      <c r="A146" s="429">
        <v>361001</v>
      </c>
      <c r="B146" s="323" t="s">
        <v>287</v>
      </c>
      <c r="C146" s="162">
        <f>'[18]Table 5B1_RSD_Orleans'!C17</f>
        <v>163</v>
      </c>
      <c r="D146" s="166">
        <f>'[17]10.1.13 Type 5 Charters by Site'!D10</f>
        <v>227</v>
      </c>
      <c r="E146" s="163">
        <f t="shared" si="56"/>
        <v>64</v>
      </c>
      <c r="F146" s="163">
        <f t="shared" si="57"/>
        <v>64</v>
      </c>
      <c r="G146" s="163">
        <f t="shared" si="58"/>
        <v>0</v>
      </c>
      <c r="H146" s="167">
        <f>'[18]Table 5B1_RSD_Orleans'!D17</f>
        <v>3520.4894337711748</v>
      </c>
      <c r="I146" s="167">
        <f>'[18]Table 5B1_RSD_Orleans'!F17</f>
        <v>746.0335616438357</v>
      </c>
      <c r="J146" s="167">
        <f t="shared" si="59"/>
        <v>4266.5229954150109</v>
      </c>
      <c r="K146" s="165">
        <f t="shared" si="60"/>
        <v>273057.4717065607</v>
      </c>
      <c r="L146" s="167">
        <f t="shared" si="61"/>
        <v>273057.4717065607</v>
      </c>
      <c r="M146" s="167">
        <f t="shared" si="62"/>
        <v>0</v>
      </c>
    </row>
    <row r="147" spans="1:13" s="206" customFormat="1" ht="14.25" customHeight="1">
      <c r="A147" s="429">
        <v>362001</v>
      </c>
      <c r="B147" s="323" t="s">
        <v>14</v>
      </c>
      <c r="C147" s="162">
        <f>'[18]Table 5B1_RSD_Orleans'!C18</f>
        <v>377</v>
      </c>
      <c r="D147" s="166">
        <f>'[17]10.1.13 Type 5 Charters by Site'!D11</f>
        <v>311</v>
      </c>
      <c r="E147" s="163">
        <f t="shared" si="56"/>
        <v>-66</v>
      </c>
      <c r="F147" s="163">
        <f t="shared" si="57"/>
        <v>0</v>
      </c>
      <c r="G147" s="163">
        <f t="shared" si="58"/>
        <v>-66</v>
      </c>
      <c r="H147" s="167">
        <f>'[18]Table 5B1_RSD_Orleans'!D18</f>
        <v>3520.4894337711748</v>
      </c>
      <c r="I147" s="167">
        <f>'[18]Table 5B1_RSD_Orleans'!F18</f>
        <v>746.0335616438357</v>
      </c>
      <c r="J147" s="167">
        <f t="shared" si="59"/>
        <v>4266.5229954150109</v>
      </c>
      <c r="K147" s="165">
        <f t="shared" si="60"/>
        <v>-281590.51769739069</v>
      </c>
      <c r="L147" s="167">
        <f t="shared" si="61"/>
        <v>0</v>
      </c>
      <c r="M147" s="167">
        <f t="shared" si="62"/>
        <v>-281590.51769739069</v>
      </c>
    </row>
    <row r="148" spans="1:13" s="206" customFormat="1" ht="14.25" customHeight="1">
      <c r="A148" s="427">
        <v>363001</v>
      </c>
      <c r="B148" s="323" t="s">
        <v>15</v>
      </c>
      <c r="C148" s="162">
        <f>'[18]Table 5B1_RSD_Orleans'!C19</f>
        <v>530</v>
      </c>
      <c r="D148" s="166">
        <f>'[17]10.1.13 Type 5 Charters by Site'!D12</f>
        <v>531</v>
      </c>
      <c r="E148" s="163">
        <f t="shared" si="56"/>
        <v>1</v>
      </c>
      <c r="F148" s="163">
        <f t="shared" si="57"/>
        <v>1</v>
      </c>
      <c r="G148" s="163">
        <f t="shared" si="58"/>
        <v>0</v>
      </c>
      <c r="H148" s="167">
        <f>'[18]Table 5B1_RSD_Orleans'!D19</f>
        <v>3520.4894337711748</v>
      </c>
      <c r="I148" s="167">
        <f>'[18]Table 5B1_RSD_Orleans'!F19</f>
        <v>746.0335616438357</v>
      </c>
      <c r="J148" s="167">
        <f t="shared" si="59"/>
        <v>4266.5229954150109</v>
      </c>
      <c r="K148" s="165">
        <f t="shared" si="60"/>
        <v>4266.5229954150109</v>
      </c>
      <c r="L148" s="167">
        <f t="shared" si="61"/>
        <v>4266.5229954150109</v>
      </c>
      <c r="M148" s="167">
        <f t="shared" si="62"/>
        <v>0</v>
      </c>
    </row>
    <row r="149" spans="1:13" s="206" customFormat="1" ht="14.25" customHeight="1">
      <c r="A149" s="427">
        <v>363002</v>
      </c>
      <c r="B149" s="323" t="s">
        <v>16</v>
      </c>
      <c r="C149" s="162">
        <f>'[18]Table 5B1_RSD_Orleans'!C20</f>
        <v>460</v>
      </c>
      <c r="D149" s="166">
        <f>'[17]10.1.13 Type 5 Charters by Site'!D13</f>
        <v>338</v>
      </c>
      <c r="E149" s="163">
        <f t="shared" si="56"/>
        <v>-122</v>
      </c>
      <c r="F149" s="163">
        <f t="shared" si="57"/>
        <v>0</v>
      </c>
      <c r="G149" s="163">
        <f t="shared" si="58"/>
        <v>-122</v>
      </c>
      <c r="H149" s="167">
        <f>'[18]Table 5B1_RSD_Orleans'!D20</f>
        <v>3520.4894337711748</v>
      </c>
      <c r="I149" s="167">
        <f>'[18]Table 5B1_RSD_Orleans'!F20</f>
        <v>746.0335616438357</v>
      </c>
      <c r="J149" s="167">
        <f t="shared" si="59"/>
        <v>4266.5229954150109</v>
      </c>
      <c r="K149" s="165">
        <f t="shared" si="60"/>
        <v>-520515.80544063135</v>
      </c>
      <c r="L149" s="167">
        <f t="shared" si="61"/>
        <v>0</v>
      </c>
      <c r="M149" s="167">
        <f t="shared" si="62"/>
        <v>-520515.80544063135</v>
      </c>
    </row>
    <row r="150" spans="1:13" s="206" customFormat="1" ht="14.25" customHeight="1">
      <c r="A150" s="430">
        <v>364001</v>
      </c>
      <c r="B150" s="327" t="s">
        <v>17</v>
      </c>
      <c r="C150" s="171">
        <f>'[18]Table 5B1_RSD_Orleans'!C21</f>
        <v>523</v>
      </c>
      <c r="D150" s="170">
        <f>'[17]10.1.13 Type 5 Charters by Site'!D14</f>
        <v>541</v>
      </c>
      <c r="E150" s="172">
        <f t="shared" si="56"/>
        <v>18</v>
      </c>
      <c r="F150" s="172">
        <f t="shared" si="57"/>
        <v>18</v>
      </c>
      <c r="G150" s="172">
        <f t="shared" si="58"/>
        <v>0</v>
      </c>
      <c r="H150" s="174">
        <f>'[18]Table 5B1_RSD_Orleans'!D21</f>
        <v>3520.4894337711748</v>
      </c>
      <c r="I150" s="174">
        <f>'[18]Table 5B1_RSD_Orleans'!F21</f>
        <v>746.0335616438357</v>
      </c>
      <c r="J150" s="174">
        <f t="shared" si="59"/>
        <v>4266.5229954150109</v>
      </c>
      <c r="K150" s="175">
        <f t="shared" si="60"/>
        <v>76797.4139174702</v>
      </c>
      <c r="L150" s="174">
        <f t="shared" si="61"/>
        <v>76797.4139174702</v>
      </c>
      <c r="M150" s="174">
        <f t="shared" si="62"/>
        <v>0</v>
      </c>
    </row>
    <row r="151" spans="1:13" s="206" customFormat="1" ht="14.25" customHeight="1">
      <c r="A151" s="427">
        <v>366001</v>
      </c>
      <c r="B151" s="323" t="s">
        <v>291</v>
      </c>
      <c r="C151" s="162">
        <f>'[18]Table 5B1_RSD_Orleans'!C22</f>
        <v>121</v>
      </c>
      <c r="D151" s="162">
        <f>'[17]10.1.13 Type 5 Charters by Site'!D15</f>
        <v>162</v>
      </c>
      <c r="E151" s="163">
        <f t="shared" si="56"/>
        <v>41</v>
      </c>
      <c r="F151" s="163">
        <f t="shared" si="57"/>
        <v>41</v>
      </c>
      <c r="G151" s="163">
        <f t="shared" si="58"/>
        <v>0</v>
      </c>
      <c r="H151" s="164">
        <f>'[18]Table 5B1_RSD_Orleans'!D22</f>
        <v>3520.4894337711748</v>
      </c>
      <c r="I151" s="164">
        <f>'[18]Table 5B1_RSD_Orleans'!F22</f>
        <v>746.0335616438357</v>
      </c>
      <c r="J151" s="164">
        <f t="shared" si="59"/>
        <v>4266.5229954150109</v>
      </c>
      <c r="K151" s="165">
        <f t="shared" si="60"/>
        <v>174927.44281201545</v>
      </c>
      <c r="L151" s="164">
        <f t="shared" si="61"/>
        <v>174927.44281201545</v>
      </c>
      <c r="M151" s="164">
        <f t="shared" si="62"/>
        <v>0</v>
      </c>
    </row>
    <row r="152" spans="1:13" s="206" customFormat="1" ht="14.25" customHeight="1">
      <c r="A152" s="427">
        <v>367001</v>
      </c>
      <c r="B152" s="323" t="s">
        <v>363</v>
      </c>
      <c r="C152" s="162">
        <f>'[18]Table 5B1_RSD_Orleans'!C23</f>
        <v>393</v>
      </c>
      <c r="D152" s="162">
        <f>'[17]10.1.13 Type 5 Charters by Site'!D16</f>
        <v>355</v>
      </c>
      <c r="E152" s="163">
        <f t="shared" si="56"/>
        <v>-38</v>
      </c>
      <c r="F152" s="163">
        <f t="shared" si="57"/>
        <v>0</v>
      </c>
      <c r="G152" s="163">
        <f t="shared" si="58"/>
        <v>-38</v>
      </c>
      <c r="H152" s="164">
        <f>'[18]Table 5B1_RSD_Orleans'!D23</f>
        <v>3520.4894337711748</v>
      </c>
      <c r="I152" s="164">
        <f>'[18]Table 5B1_RSD_Orleans'!F23</f>
        <v>746.0335616438357</v>
      </c>
      <c r="J152" s="164">
        <f t="shared" si="59"/>
        <v>4266.5229954150109</v>
      </c>
      <c r="K152" s="165">
        <f t="shared" si="60"/>
        <v>-162127.87382577042</v>
      </c>
      <c r="L152" s="164">
        <f t="shared" si="61"/>
        <v>0</v>
      </c>
      <c r="M152" s="164">
        <f t="shared" si="62"/>
        <v>-162127.87382577042</v>
      </c>
    </row>
    <row r="153" spans="1:13" s="206" customFormat="1" ht="14.25" customHeight="1">
      <c r="A153" s="427">
        <v>368001</v>
      </c>
      <c r="B153" s="323" t="s">
        <v>293</v>
      </c>
      <c r="C153" s="162">
        <f>'[18]Table 5B1_RSD_Orleans'!C24</f>
        <v>262</v>
      </c>
      <c r="D153" s="166">
        <f>'[17]10.1.13 Type 5 Charters by Site'!D17</f>
        <v>362</v>
      </c>
      <c r="E153" s="163">
        <f t="shared" si="56"/>
        <v>100</v>
      </c>
      <c r="F153" s="163">
        <f t="shared" si="57"/>
        <v>100</v>
      </c>
      <c r="G153" s="163">
        <f t="shared" si="58"/>
        <v>0</v>
      </c>
      <c r="H153" s="167">
        <f>'[18]Table 5B1_RSD_Orleans'!D24</f>
        <v>3520.4894337711748</v>
      </c>
      <c r="I153" s="167">
        <f>'[18]Table 5B1_RSD_Orleans'!F24</f>
        <v>746.0335616438357</v>
      </c>
      <c r="J153" s="167">
        <f t="shared" si="59"/>
        <v>4266.5229954150109</v>
      </c>
      <c r="K153" s="165">
        <f t="shared" si="60"/>
        <v>426652.2995415011</v>
      </c>
      <c r="L153" s="167">
        <f t="shared" si="61"/>
        <v>426652.2995415011</v>
      </c>
      <c r="M153" s="167">
        <f t="shared" si="62"/>
        <v>0</v>
      </c>
    </row>
    <row r="154" spans="1:13" s="206" customFormat="1" ht="14.25" customHeight="1">
      <c r="A154" s="427">
        <v>369001</v>
      </c>
      <c r="B154" s="325" t="s">
        <v>294</v>
      </c>
      <c r="C154" s="162">
        <f>'[18]Table 5B1_RSD_Orleans'!C25</f>
        <v>651</v>
      </c>
      <c r="D154" s="166">
        <f>'[17]10.1.13 Type 5 Charters by Site'!D18+'[17]10.1.13 Type 5 Charters by Site'!D24</f>
        <v>609</v>
      </c>
      <c r="E154" s="163">
        <f t="shared" si="56"/>
        <v>-42</v>
      </c>
      <c r="F154" s="163">
        <f t="shared" si="57"/>
        <v>0</v>
      </c>
      <c r="G154" s="163">
        <f t="shared" si="58"/>
        <v>-42</v>
      </c>
      <c r="H154" s="167">
        <f>'[18]Table 5B1_RSD_Orleans'!D25</f>
        <v>3520.4894337711748</v>
      </c>
      <c r="I154" s="167">
        <f>'[18]Table 5B1_RSD_Orleans'!F25</f>
        <v>746.0335616438357</v>
      </c>
      <c r="J154" s="167">
        <f t="shared" si="59"/>
        <v>4266.5229954150109</v>
      </c>
      <c r="K154" s="165">
        <f t="shared" si="60"/>
        <v>-179193.96580743045</v>
      </c>
      <c r="L154" s="167">
        <f t="shared" si="61"/>
        <v>0</v>
      </c>
      <c r="M154" s="167">
        <f t="shared" si="62"/>
        <v>-179193.96580743045</v>
      </c>
    </row>
    <row r="155" spans="1:13" s="206" customFormat="1" ht="14.25" customHeight="1">
      <c r="A155" s="430">
        <v>369002</v>
      </c>
      <c r="B155" s="327" t="s">
        <v>295</v>
      </c>
      <c r="C155" s="171">
        <f>'[18]Table 5B1_RSD_Orleans'!C26</f>
        <v>655</v>
      </c>
      <c r="D155" s="170">
        <f>'[17]10.1.13 Type 5 Charters by Site'!D19</f>
        <v>691</v>
      </c>
      <c r="E155" s="172">
        <f t="shared" si="56"/>
        <v>36</v>
      </c>
      <c r="F155" s="172">
        <f t="shared" si="57"/>
        <v>36</v>
      </c>
      <c r="G155" s="172">
        <f t="shared" si="58"/>
        <v>0</v>
      </c>
      <c r="H155" s="174">
        <f>'[18]Table 5B1_RSD_Orleans'!D26</f>
        <v>3520.4894337711748</v>
      </c>
      <c r="I155" s="174">
        <f>'[18]Table 5B1_RSD_Orleans'!F26</f>
        <v>746.0335616438357</v>
      </c>
      <c r="J155" s="174">
        <f t="shared" si="59"/>
        <v>4266.5229954150109</v>
      </c>
      <c r="K155" s="175">
        <f t="shared" si="60"/>
        <v>153594.8278349404</v>
      </c>
      <c r="L155" s="173">
        <f t="shared" si="61"/>
        <v>153594.8278349404</v>
      </c>
      <c r="M155" s="173">
        <f t="shared" si="62"/>
        <v>0</v>
      </c>
    </row>
    <row r="156" spans="1:13" s="206" customFormat="1" ht="14.25" customHeight="1">
      <c r="A156" s="427">
        <v>369003</v>
      </c>
      <c r="B156" s="325" t="s">
        <v>364</v>
      </c>
      <c r="C156" s="162">
        <f>'[18]Table 5B1_RSD_Orleans'!C27</f>
        <v>639</v>
      </c>
      <c r="D156" s="166">
        <f>'[17]10.1.13 Type 5 Charters by Site'!D20</f>
        <v>704</v>
      </c>
      <c r="E156" s="163">
        <f t="shared" si="56"/>
        <v>65</v>
      </c>
      <c r="F156" s="163">
        <f t="shared" si="57"/>
        <v>65</v>
      </c>
      <c r="G156" s="163">
        <f t="shared" si="58"/>
        <v>0</v>
      </c>
      <c r="H156" s="167">
        <f>'[18]Table 5B1_RSD_Orleans'!D27</f>
        <v>3520.4894337711748</v>
      </c>
      <c r="I156" s="167">
        <f>'[18]Table 5B1_RSD_Orleans'!F27</f>
        <v>746.0335616438357</v>
      </c>
      <c r="J156" s="167">
        <f t="shared" si="59"/>
        <v>4266.5229954150109</v>
      </c>
      <c r="K156" s="165">
        <f t="shared" si="60"/>
        <v>277323.99470197572</v>
      </c>
      <c r="L156" s="164">
        <f t="shared" si="61"/>
        <v>277323.99470197572</v>
      </c>
      <c r="M156" s="164">
        <f t="shared" si="62"/>
        <v>0</v>
      </c>
    </row>
    <row r="157" spans="1:13" ht="14.25" customHeight="1">
      <c r="A157" s="427">
        <v>369004</v>
      </c>
      <c r="B157" s="323" t="s">
        <v>21</v>
      </c>
      <c r="C157" s="162">
        <f>'[18]Table 5B1_RSD_Orleans'!C28</f>
        <v>188</v>
      </c>
      <c r="D157" s="166">
        <f>'[17]10.1.13 Type 5 Charters by Site'!D21</f>
        <v>171</v>
      </c>
      <c r="E157" s="163">
        <f t="shared" si="56"/>
        <v>-17</v>
      </c>
      <c r="F157" s="163">
        <f t="shared" si="57"/>
        <v>0</v>
      </c>
      <c r="G157" s="163">
        <f t="shared" si="58"/>
        <v>-17</v>
      </c>
      <c r="H157" s="167">
        <f>'[18]Table 5B1_RSD_Orleans'!D28</f>
        <v>3520.4894337711748</v>
      </c>
      <c r="I157" s="167">
        <f>'[18]Table 5B1_RSD_Orleans'!F28</f>
        <v>746.0335616438357</v>
      </c>
      <c r="J157" s="167">
        <f t="shared" si="59"/>
        <v>4266.5229954150109</v>
      </c>
      <c r="K157" s="165">
        <f t="shared" si="60"/>
        <v>-72530.890922055187</v>
      </c>
      <c r="L157" s="164">
        <f t="shared" si="61"/>
        <v>0</v>
      </c>
      <c r="M157" s="164">
        <f t="shared" si="62"/>
        <v>-72530.890922055187</v>
      </c>
    </row>
    <row r="158" spans="1:13" ht="14.25" customHeight="1">
      <c r="A158" s="427">
        <v>369005</v>
      </c>
      <c r="B158" s="323" t="s">
        <v>22</v>
      </c>
      <c r="C158" s="162">
        <f>'[18]Table 5B1_RSD_Orleans'!C29</f>
        <v>180</v>
      </c>
      <c r="D158" s="166">
        <f>'[17]10.1.13 Type 5 Charters by Site'!D22</f>
        <v>159</v>
      </c>
      <c r="E158" s="163">
        <f t="shared" si="56"/>
        <v>-21</v>
      </c>
      <c r="F158" s="163">
        <f t="shared" si="57"/>
        <v>0</v>
      </c>
      <c r="G158" s="163">
        <f t="shared" si="58"/>
        <v>-21</v>
      </c>
      <c r="H158" s="167">
        <f>'[18]Table 5B1_RSD_Orleans'!D29</f>
        <v>3520.4894337711748</v>
      </c>
      <c r="I158" s="167">
        <f>'[18]Table 5B1_RSD_Orleans'!F29</f>
        <v>746.0335616438357</v>
      </c>
      <c r="J158" s="167">
        <f t="shared" si="59"/>
        <v>4266.5229954150109</v>
      </c>
      <c r="K158" s="165">
        <f t="shared" si="60"/>
        <v>-89596.982903715223</v>
      </c>
      <c r="L158" s="167">
        <f t="shared" si="61"/>
        <v>0</v>
      </c>
      <c r="M158" s="167">
        <f t="shared" si="62"/>
        <v>-89596.982903715223</v>
      </c>
    </row>
    <row r="159" spans="1:13" ht="14.25" customHeight="1">
      <c r="A159" s="427">
        <v>369006</v>
      </c>
      <c r="B159" s="323" t="s">
        <v>299</v>
      </c>
      <c r="C159" s="162">
        <f>'[18]Table 5B1_RSD_Orleans'!C30</f>
        <v>818</v>
      </c>
      <c r="D159" s="162">
        <f>'[17]10.1.13 Type 5 Charters by Site'!D23</f>
        <v>778</v>
      </c>
      <c r="E159" s="163">
        <f t="shared" si="56"/>
        <v>-40</v>
      </c>
      <c r="F159" s="163">
        <f t="shared" si="57"/>
        <v>0</v>
      </c>
      <c r="G159" s="163">
        <f t="shared" si="58"/>
        <v>-40</v>
      </c>
      <c r="H159" s="164">
        <f>'[18]Table 5B1_RSD_Orleans'!D30</f>
        <v>3520.4894337711748</v>
      </c>
      <c r="I159" s="164">
        <f>'[18]Table 5B1_RSD_Orleans'!F30</f>
        <v>746.0335616438357</v>
      </c>
      <c r="J159" s="164">
        <f t="shared" si="59"/>
        <v>4266.5229954150109</v>
      </c>
      <c r="K159" s="165">
        <f t="shared" si="60"/>
        <v>-170660.91981660045</v>
      </c>
      <c r="L159" s="164">
        <f t="shared" si="61"/>
        <v>0</v>
      </c>
      <c r="M159" s="164">
        <f t="shared" si="62"/>
        <v>-170660.91981660045</v>
      </c>
    </row>
    <row r="160" spans="1:13" ht="14.25" customHeight="1">
      <c r="A160" s="430">
        <v>373001</v>
      </c>
      <c r="B160" s="327" t="s">
        <v>365</v>
      </c>
      <c r="C160" s="171">
        <f>'[18]Table 5B1_RSD_Orleans'!C31</f>
        <v>399</v>
      </c>
      <c r="D160" s="171">
        <f>'[17]10.1.13 Type 5 Charters by Site'!D26</f>
        <v>446</v>
      </c>
      <c r="E160" s="172">
        <f t="shared" si="56"/>
        <v>47</v>
      </c>
      <c r="F160" s="172">
        <f t="shared" si="57"/>
        <v>47</v>
      </c>
      <c r="G160" s="172">
        <f t="shared" si="58"/>
        <v>0</v>
      </c>
      <c r="H160" s="173">
        <f>'[18]Table 5B1_RSD_Orleans'!D31</f>
        <v>3520.4894337711748</v>
      </c>
      <c r="I160" s="173">
        <f>'[18]Table 5B1_RSD_Orleans'!F31</f>
        <v>746.0335616438357</v>
      </c>
      <c r="J160" s="173">
        <f t="shared" si="59"/>
        <v>4266.5229954150109</v>
      </c>
      <c r="K160" s="175">
        <f t="shared" si="60"/>
        <v>200526.58078450552</v>
      </c>
      <c r="L160" s="173">
        <f t="shared" si="61"/>
        <v>200526.58078450552</v>
      </c>
      <c r="M160" s="173">
        <f t="shared" si="62"/>
        <v>0</v>
      </c>
    </row>
    <row r="161" spans="1:13" ht="14.25" customHeight="1">
      <c r="A161" s="427">
        <v>373002</v>
      </c>
      <c r="B161" s="323" t="s">
        <v>366</v>
      </c>
      <c r="C161" s="162">
        <f>'[18]Table 5B1_RSD_Orleans'!C32</f>
        <v>398</v>
      </c>
      <c r="D161" s="166">
        <f>'[17]10.1.13 Type 5 Charters by Site'!D27</f>
        <v>379</v>
      </c>
      <c r="E161" s="163">
        <f t="shared" si="56"/>
        <v>-19</v>
      </c>
      <c r="F161" s="163">
        <f t="shared" si="57"/>
        <v>0</v>
      </c>
      <c r="G161" s="163">
        <f t="shared" si="58"/>
        <v>-19</v>
      </c>
      <c r="H161" s="167">
        <f>'[18]Table 5B1_RSD_Orleans'!D32</f>
        <v>3520.4894337711748</v>
      </c>
      <c r="I161" s="167">
        <f>'[18]Table 5B1_RSD_Orleans'!F32</f>
        <v>746.0335616438357</v>
      </c>
      <c r="J161" s="167">
        <f t="shared" si="59"/>
        <v>4266.5229954150109</v>
      </c>
      <c r="K161" s="165">
        <f t="shared" si="60"/>
        <v>-81063.936912885212</v>
      </c>
      <c r="L161" s="167">
        <f t="shared" si="61"/>
        <v>0</v>
      </c>
      <c r="M161" s="167">
        <f t="shared" si="62"/>
        <v>-81063.936912885212</v>
      </c>
    </row>
    <row r="162" spans="1:13" ht="14.25" customHeight="1">
      <c r="A162" s="427">
        <v>374001</v>
      </c>
      <c r="B162" s="323" t="s">
        <v>302</v>
      </c>
      <c r="C162" s="162">
        <f>'[18]Table 5B1_RSD_Orleans'!C33</f>
        <v>402</v>
      </c>
      <c r="D162" s="166">
        <f>'[17]10.1.13 Type 5 Charters by Site'!D28</f>
        <v>457</v>
      </c>
      <c r="E162" s="163">
        <f t="shared" si="56"/>
        <v>55</v>
      </c>
      <c r="F162" s="163">
        <f t="shared" si="57"/>
        <v>55</v>
      </c>
      <c r="G162" s="163">
        <f t="shared" si="58"/>
        <v>0</v>
      </c>
      <c r="H162" s="167">
        <f>'[18]Table 5B1_RSD_Orleans'!D33</f>
        <v>3520.4894337711748</v>
      </c>
      <c r="I162" s="167">
        <f>'[18]Table 5B1_RSD_Orleans'!F33</f>
        <v>746.0335616438357</v>
      </c>
      <c r="J162" s="167">
        <f t="shared" si="59"/>
        <v>4266.5229954150109</v>
      </c>
      <c r="K162" s="165">
        <f t="shared" si="60"/>
        <v>234658.7647478256</v>
      </c>
      <c r="L162" s="167">
        <f t="shared" si="61"/>
        <v>234658.7647478256</v>
      </c>
      <c r="M162" s="167">
        <f t="shared" si="62"/>
        <v>0</v>
      </c>
    </row>
    <row r="163" spans="1:13" ht="14.25" customHeight="1">
      <c r="A163" s="427">
        <v>381001</v>
      </c>
      <c r="B163" s="323" t="s">
        <v>367</v>
      </c>
      <c r="C163" s="162">
        <f>'[18]Table 5B1_RSD_Orleans'!C34</f>
        <v>381</v>
      </c>
      <c r="D163" s="166">
        <f>'[17]10.1.13 Type 5 Charters by Site'!D29</f>
        <v>472</v>
      </c>
      <c r="E163" s="163">
        <f t="shared" si="56"/>
        <v>91</v>
      </c>
      <c r="F163" s="163">
        <f t="shared" si="57"/>
        <v>91</v>
      </c>
      <c r="G163" s="163">
        <f t="shared" si="58"/>
        <v>0</v>
      </c>
      <c r="H163" s="167">
        <f>'[18]Table 5B1_RSD_Orleans'!D34</f>
        <v>3520.4894337711748</v>
      </c>
      <c r="I163" s="167">
        <f>'[18]Table 5B1_RSD_Orleans'!F34</f>
        <v>743.65689655172423</v>
      </c>
      <c r="J163" s="167">
        <f t="shared" si="59"/>
        <v>4264.1463303228993</v>
      </c>
      <c r="K163" s="165">
        <f t="shared" si="60"/>
        <v>388037.31605938385</v>
      </c>
      <c r="L163" s="167">
        <f t="shared" si="61"/>
        <v>388037.31605938385</v>
      </c>
      <c r="M163" s="167">
        <f t="shared" si="62"/>
        <v>0</v>
      </c>
    </row>
    <row r="164" spans="1:13" s="330" customFormat="1" ht="14.25" customHeight="1">
      <c r="A164" s="427">
        <v>382001</v>
      </c>
      <c r="B164" s="323" t="s">
        <v>304</v>
      </c>
      <c r="C164" s="162">
        <f>'[18]Table 5B1_RSD_Orleans'!C35</f>
        <v>401</v>
      </c>
      <c r="D164" s="162">
        <f>'[17]10.1.13 Type 5 Charters by Site'!D30</f>
        <v>442</v>
      </c>
      <c r="E164" s="163">
        <f t="shared" si="56"/>
        <v>41</v>
      </c>
      <c r="F164" s="163">
        <f t="shared" si="57"/>
        <v>41</v>
      </c>
      <c r="G164" s="163">
        <f t="shared" si="58"/>
        <v>0</v>
      </c>
      <c r="H164" s="164">
        <f>'[18]Table 5B1_RSD_Orleans'!D35</f>
        <v>3520.4894337711748</v>
      </c>
      <c r="I164" s="164">
        <f>'[18]Table 5B1_RSD_Orleans'!F35</f>
        <v>783.54939759036142</v>
      </c>
      <c r="J164" s="164">
        <f t="shared" si="59"/>
        <v>4304.0388313615367</v>
      </c>
      <c r="K164" s="165">
        <f t="shared" si="60"/>
        <v>176465.59208582301</v>
      </c>
      <c r="L164" s="164">
        <f t="shared" si="61"/>
        <v>176465.59208582301</v>
      </c>
      <c r="M164" s="164">
        <f t="shared" si="62"/>
        <v>0</v>
      </c>
    </row>
    <row r="165" spans="1:13" s="330" customFormat="1" ht="14.25" customHeight="1">
      <c r="A165" s="427">
        <v>382002</v>
      </c>
      <c r="B165" s="325" t="s">
        <v>305</v>
      </c>
      <c r="C165" s="162">
        <f>'[18]Table 5B1_RSD_Orleans'!C36</f>
        <v>105</v>
      </c>
      <c r="D165" s="162">
        <f>'[17]10.1.13 Type 5 Charters by Site'!D31</f>
        <v>214</v>
      </c>
      <c r="E165" s="163">
        <f t="shared" si="56"/>
        <v>109</v>
      </c>
      <c r="F165" s="163">
        <f t="shared" si="57"/>
        <v>109</v>
      </c>
      <c r="G165" s="163">
        <f t="shared" si="58"/>
        <v>0</v>
      </c>
      <c r="H165" s="164">
        <f>'[18]Table 5B1_RSD_Orleans'!D36</f>
        <v>3520.4894337711748</v>
      </c>
      <c r="I165" s="164">
        <f>'[18]Table 5B1_RSD_Orleans'!F36</f>
        <v>746.0335616438357</v>
      </c>
      <c r="J165" s="164">
        <f t="shared" si="59"/>
        <v>4266.5229954150109</v>
      </c>
      <c r="K165" s="165">
        <f t="shared" si="60"/>
        <v>465051.00650023617</v>
      </c>
      <c r="L165" s="164">
        <f t="shared" si="61"/>
        <v>465051.00650023617</v>
      </c>
      <c r="M165" s="164">
        <f t="shared" si="62"/>
        <v>0</v>
      </c>
    </row>
    <row r="166" spans="1:13" s="330" customFormat="1" ht="14.25" customHeight="1">
      <c r="A166" s="431">
        <v>382003</v>
      </c>
      <c r="B166" s="332" t="s">
        <v>306</v>
      </c>
      <c r="C166" s="196">
        <f>'[18]Table 5B1_RSD_Orleans'!C37</f>
        <v>100</v>
      </c>
      <c r="D166" s="180">
        <f>'[17]10.1.13 Type 5 Charters by Site'!D32</f>
        <v>197</v>
      </c>
      <c r="E166" s="333">
        <f t="shared" si="56"/>
        <v>97</v>
      </c>
      <c r="F166" s="333">
        <f t="shared" si="57"/>
        <v>97</v>
      </c>
      <c r="G166" s="333">
        <f t="shared" si="58"/>
        <v>0</v>
      </c>
      <c r="H166" s="334">
        <f>'[18]Table 5B1_RSD_Orleans'!D37</f>
        <v>3520.4894337711748</v>
      </c>
      <c r="I166" s="334">
        <f>'[18]Table 5B1_RSD_Orleans'!F37</f>
        <v>746.0335616438357</v>
      </c>
      <c r="J166" s="334">
        <f t="shared" si="59"/>
        <v>4266.5229954150109</v>
      </c>
      <c r="K166" s="335">
        <f t="shared" si="60"/>
        <v>413852.73055525607</v>
      </c>
      <c r="L166" s="334">
        <f t="shared" si="61"/>
        <v>413852.73055525607</v>
      </c>
      <c r="M166" s="334">
        <f t="shared" si="62"/>
        <v>0</v>
      </c>
    </row>
    <row r="167" spans="1:13" s="330" customFormat="1" ht="14.25" customHeight="1">
      <c r="A167" s="429">
        <v>384001</v>
      </c>
      <c r="B167" s="323" t="s">
        <v>368</v>
      </c>
      <c r="C167" s="162">
        <f>'[18]Table 5B1_RSD_Orleans'!C38</f>
        <v>400</v>
      </c>
      <c r="D167" s="166">
        <f>'[17]10.1.13 Type 5 Charters by Site'!D33</f>
        <v>325</v>
      </c>
      <c r="E167" s="163">
        <f t="shared" si="56"/>
        <v>-75</v>
      </c>
      <c r="F167" s="163">
        <f t="shared" si="57"/>
        <v>0</v>
      </c>
      <c r="G167" s="163">
        <f t="shared" si="58"/>
        <v>-75</v>
      </c>
      <c r="H167" s="167">
        <f>'[18]Table 5B1_RSD_Orleans'!D38</f>
        <v>3520.4894337711748</v>
      </c>
      <c r="I167" s="167">
        <f>'[18]Table 5B1_RSD_Orleans'!F38</f>
        <v>735.82244897959185</v>
      </c>
      <c r="J167" s="167">
        <f t="shared" si="59"/>
        <v>4256.3118827507669</v>
      </c>
      <c r="K167" s="165">
        <f t="shared" si="60"/>
        <v>-319223.39120630751</v>
      </c>
      <c r="L167" s="167">
        <f t="shared" si="61"/>
        <v>0</v>
      </c>
      <c r="M167" s="167">
        <f t="shared" si="62"/>
        <v>-319223.39120630751</v>
      </c>
    </row>
    <row r="168" spans="1:13" s="330" customFormat="1" ht="14.25" customHeight="1">
      <c r="A168" s="427">
        <v>385001</v>
      </c>
      <c r="B168" s="325" t="s">
        <v>308</v>
      </c>
      <c r="C168" s="162">
        <f>'[18]Table 5B1_RSD_Orleans'!C39</f>
        <v>352</v>
      </c>
      <c r="D168" s="166">
        <f>'[17]10.1.13 Type 5 Charters by Site'!D34</f>
        <v>320</v>
      </c>
      <c r="E168" s="163">
        <f t="shared" si="56"/>
        <v>-32</v>
      </c>
      <c r="F168" s="163">
        <f t="shared" si="57"/>
        <v>0</v>
      </c>
      <c r="G168" s="163">
        <f t="shared" si="58"/>
        <v>-32</v>
      </c>
      <c r="H168" s="167">
        <f>'[18]Table 5B1_RSD_Orleans'!D39</f>
        <v>3520.4894337711748</v>
      </c>
      <c r="I168" s="167">
        <f>'[18]Table 5B1_RSD_Orleans'!F39</f>
        <v>618.75651162790689</v>
      </c>
      <c r="J168" s="167">
        <f t="shared" si="59"/>
        <v>4139.2459453990814</v>
      </c>
      <c r="K168" s="165">
        <f t="shared" si="60"/>
        <v>-132455.8702527706</v>
      </c>
      <c r="L168" s="167">
        <f t="shared" si="61"/>
        <v>0</v>
      </c>
      <c r="M168" s="167">
        <f t="shared" si="62"/>
        <v>-132455.8702527706</v>
      </c>
    </row>
    <row r="169" spans="1:13" s="330" customFormat="1" ht="14.25" customHeight="1">
      <c r="A169" s="427">
        <v>385002</v>
      </c>
      <c r="B169" s="323" t="s">
        <v>309</v>
      </c>
      <c r="C169" s="162">
        <f>'[18]Table 5B1_RSD_Orleans'!C40</f>
        <v>493</v>
      </c>
      <c r="D169" s="166">
        <f>'[17]10.1.13 Type 5 Charters by Site'!D35</f>
        <v>518</v>
      </c>
      <c r="E169" s="163">
        <f t="shared" si="56"/>
        <v>25</v>
      </c>
      <c r="F169" s="163">
        <f t="shared" si="57"/>
        <v>25</v>
      </c>
      <c r="G169" s="163">
        <f t="shared" si="58"/>
        <v>0</v>
      </c>
      <c r="H169" s="167">
        <f>'[18]Table 5B1_RSD_Orleans'!D40</f>
        <v>3520.4894337711748</v>
      </c>
      <c r="I169" s="167">
        <f>'[18]Table 5B1_RSD_Orleans'!F40</f>
        <v>746.0335616438357</v>
      </c>
      <c r="J169" s="167">
        <f t="shared" si="59"/>
        <v>4266.5229954150109</v>
      </c>
      <c r="K169" s="165">
        <f t="shared" si="60"/>
        <v>106663.07488537527</v>
      </c>
      <c r="L169" s="167">
        <f t="shared" si="61"/>
        <v>106663.07488537527</v>
      </c>
      <c r="M169" s="167">
        <f t="shared" si="62"/>
        <v>0</v>
      </c>
    </row>
    <row r="170" spans="1:13" s="330" customFormat="1" ht="14.25" customHeight="1">
      <c r="A170" s="428">
        <v>385003</v>
      </c>
      <c r="B170" s="327" t="s">
        <v>310</v>
      </c>
      <c r="C170" s="171">
        <f>'[18]Table 5B1_RSD_Orleans'!C41</f>
        <v>376</v>
      </c>
      <c r="D170" s="170">
        <f>'[17]10.1.13 Type 5 Charters by Site'!D36</f>
        <v>276</v>
      </c>
      <c r="E170" s="172">
        <f t="shared" si="56"/>
        <v>-100</v>
      </c>
      <c r="F170" s="172">
        <f t="shared" si="57"/>
        <v>0</v>
      </c>
      <c r="G170" s="172">
        <f t="shared" si="58"/>
        <v>-100</v>
      </c>
      <c r="H170" s="174">
        <f>'[18]Table 5B1_RSD_Orleans'!D41</f>
        <v>3520.4894337711748</v>
      </c>
      <c r="I170" s="174">
        <f>'[18]Table 5B1_RSD_Orleans'!F41</f>
        <v>746.0335616438357</v>
      </c>
      <c r="J170" s="174">
        <f t="shared" si="59"/>
        <v>4266.5229954150109</v>
      </c>
      <c r="K170" s="175">
        <f t="shared" si="60"/>
        <v>-426652.2995415011</v>
      </c>
      <c r="L170" s="174">
        <f t="shared" si="61"/>
        <v>0</v>
      </c>
      <c r="M170" s="174">
        <f t="shared" si="62"/>
        <v>-426652.2995415011</v>
      </c>
    </row>
    <row r="171" spans="1:13" s="330" customFormat="1" ht="14.25" customHeight="1">
      <c r="A171" s="427">
        <v>388001</v>
      </c>
      <c r="B171" s="323" t="s">
        <v>311</v>
      </c>
      <c r="C171" s="162">
        <f>'[18]Table 5B1_RSD_Orleans'!C42</f>
        <v>608</v>
      </c>
      <c r="D171" s="162">
        <f>'[17]10.1.13 Type 5 Charters by Site'!D37</f>
        <v>596</v>
      </c>
      <c r="E171" s="163">
        <f t="shared" si="56"/>
        <v>-12</v>
      </c>
      <c r="F171" s="163">
        <f t="shared" si="57"/>
        <v>0</v>
      </c>
      <c r="G171" s="163">
        <f t="shared" si="58"/>
        <v>-12</v>
      </c>
      <c r="H171" s="164">
        <f>'[18]Table 5B1_RSD_Orleans'!D42</f>
        <v>3520.4894337711748</v>
      </c>
      <c r="I171" s="164">
        <f>'[18]Table 5B1_RSD_Orleans'!F42</f>
        <v>708.2132751810401</v>
      </c>
      <c r="J171" s="164">
        <f t="shared" si="59"/>
        <v>4228.7027089522153</v>
      </c>
      <c r="K171" s="165">
        <f t="shared" si="60"/>
        <v>-50744.43250742658</v>
      </c>
      <c r="L171" s="164">
        <f t="shared" si="61"/>
        <v>0</v>
      </c>
      <c r="M171" s="164">
        <f t="shared" si="62"/>
        <v>-50744.43250742658</v>
      </c>
    </row>
    <row r="172" spans="1:13" s="330" customFormat="1" ht="14.25" customHeight="1">
      <c r="A172" s="427">
        <v>390001</v>
      </c>
      <c r="B172" s="323" t="s">
        <v>312</v>
      </c>
      <c r="C172" s="162">
        <f>'[18]Table 5B1_RSD_Orleans'!C43</f>
        <v>596</v>
      </c>
      <c r="D172" s="166">
        <f>'[17]10.1.13 Type 5 Charters by Site'!D39</f>
        <v>531</v>
      </c>
      <c r="E172" s="163">
        <f t="shared" si="56"/>
        <v>-65</v>
      </c>
      <c r="F172" s="163">
        <f t="shared" si="57"/>
        <v>0</v>
      </c>
      <c r="G172" s="163">
        <f t="shared" si="58"/>
        <v>-65</v>
      </c>
      <c r="H172" s="167">
        <f>'[18]Table 5B1_RSD_Orleans'!D43</f>
        <v>3520.4894337711748</v>
      </c>
      <c r="I172" s="167">
        <f>'[18]Table 5B1_RSD_Orleans'!F43</f>
        <v>650.55234865477053</v>
      </c>
      <c r="J172" s="167">
        <f t="shared" si="59"/>
        <v>4171.0417824259457</v>
      </c>
      <c r="K172" s="165">
        <f t="shared" si="60"/>
        <v>-271117.71585768647</v>
      </c>
      <c r="L172" s="167">
        <f t="shared" si="61"/>
        <v>0</v>
      </c>
      <c r="M172" s="167">
        <f t="shared" si="62"/>
        <v>-271117.71585768647</v>
      </c>
    </row>
    <row r="173" spans="1:13" s="330" customFormat="1" ht="14.25" customHeight="1">
      <c r="A173" s="427">
        <v>391001</v>
      </c>
      <c r="B173" s="323" t="s">
        <v>369</v>
      </c>
      <c r="C173" s="162">
        <f>'[18]Table 5B1_RSD_Orleans'!C44</f>
        <v>694</v>
      </c>
      <c r="D173" s="166">
        <f>'[17]10.1.13 Type 5 Charters by Site'!D40</f>
        <v>723</v>
      </c>
      <c r="E173" s="163">
        <f t="shared" si="56"/>
        <v>29</v>
      </c>
      <c r="F173" s="163">
        <f t="shared" si="57"/>
        <v>29</v>
      </c>
      <c r="G173" s="163">
        <f t="shared" si="58"/>
        <v>0</v>
      </c>
      <c r="H173" s="167">
        <f>'[18]Table 5B1_RSD_Orleans'!D44</f>
        <v>3520.4894337711748</v>
      </c>
      <c r="I173" s="167">
        <f>'[18]Table 5B1_RSD_Orleans'!F44</f>
        <v>721.28337970262919</v>
      </c>
      <c r="J173" s="167">
        <f t="shared" si="59"/>
        <v>4241.7728134738045</v>
      </c>
      <c r="K173" s="165">
        <f t="shared" si="60"/>
        <v>123011.41159074033</v>
      </c>
      <c r="L173" s="167">
        <f t="shared" si="61"/>
        <v>123011.41159074033</v>
      </c>
      <c r="M173" s="167">
        <f t="shared" si="62"/>
        <v>0</v>
      </c>
    </row>
    <row r="174" spans="1:13" s="330" customFormat="1" ht="14.25" customHeight="1">
      <c r="A174" s="429">
        <v>391002</v>
      </c>
      <c r="B174" s="323" t="s">
        <v>370</v>
      </c>
      <c r="C174" s="162">
        <f>'[18]Table 5B1_RSD_Orleans'!C45</f>
        <v>347</v>
      </c>
      <c r="D174" s="166">
        <f>'[17]10.1.13 Type 5 Charters by Site'!D41</f>
        <v>369</v>
      </c>
      <c r="E174" s="163">
        <f t="shared" si="56"/>
        <v>22</v>
      </c>
      <c r="F174" s="163">
        <f t="shared" si="57"/>
        <v>22</v>
      </c>
      <c r="G174" s="163">
        <f t="shared" si="58"/>
        <v>0</v>
      </c>
      <c r="H174" s="167">
        <f>'[18]Table 5B1_RSD_Orleans'!D45</f>
        <v>3520.4894337711748</v>
      </c>
      <c r="I174" s="167">
        <f>'[18]Table 5B1_RSD_Orleans'!F45</f>
        <v>746.0335616438357</v>
      </c>
      <c r="J174" s="167">
        <f t="shared" si="59"/>
        <v>4266.5229954150109</v>
      </c>
      <c r="K174" s="165">
        <f t="shared" si="60"/>
        <v>93863.505899130236</v>
      </c>
      <c r="L174" s="167">
        <f t="shared" si="61"/>
        <v>93863.505899130236</v>
      </c>
      <c r="M174" s="167">
        <f t="shared" si="62"/>
        <v>0</v>
      </c>
    </row>
    <row r="175" spans="1:13" s="330" customFormat="1" ht="14.25" customHeight="1">
      <c r="A175" s="427">
        <v>392001</v>
      </c>
      <c r="B175" s="323" t="s">
        <v>315</v>
      </c>
      <c r="C175" s="162">
        <f>'[18]Table 5B1_RSD_Orleans'!C46</f>
        <v>425</v>
      </c>
      <c r="D175" s="162">
        <f>'[17]10.1.13 Type 5 Charters by Site'!D42</f>
        <v>447</v>
      </c>
      <c r="E175" s="163">
        <f t="shared" si="56"/>
        <v>22</v>
      </c>
      <c r="F175" s="163">
        <f t="shared" si="57"/>
        <v>22</v>
      </c>
      <c r="G175" s="163">
        <f t="shared" si="58"/>
        <v>0</v>
      </c>
      <c r="H175" s="164">
        <f>'[18]Table 5B1_RSD_Orleans'!D46</f>
        <v>3520.4894337711748</v>
      </c>
      <c r="I175" s="164">
        <f>'[18]Table 5B1_RSD_Orleans'!F46</f>
        <v>600.21655982905986</v>
      </c>
      <c r="J175" s="164">
        <f t="shared" si="59"/>
        <v>4120.7059936002352</v>
      </c>
      <c r="K175" s="165">
        <f t="shared" si="60"/>
        <v>90655.531859205177</v>
      </c>
      <c r="L175" s="164">
        <f t="shared" si="61"/>
        <v>90655.531859205177</v>
      </c>
      <c r="M175" s="164">
        <f t="shared" si="62"/>
        <v>0</v>
      </c>
    </row>
    <row r="176" spans="1:13" s="330" customFormat="1" ht="14.25" customHeight="1">
      <c r="A176" s="432">
        <v>393001</v>
      </c>
      <c r="B176" s="337" t="s">
        <v>371</v>
      </c>
      <c r="C176" s="196">
        <f>'[18]Table 5B1_RSD_Orleans'!C47</f>
        <v>886</v>
      </c>
      <c r="D176" s="196">
        <f>'[17]10.1.13 Type 5 Charters by Site'!D43</f>
        <v>882</v>
      </c>
      <c r="E176" s="333">
        <f t="shared" si="56"/>
        <v>-4</v>
      </c>
      <c r="F176" s="333">
        <f t="shared" si="57"/>
        <v>0</v>
      </c>
      <c r="G176" s="333">
        <f t="shared" si="58"/>
        <v>-4</v>
      </c>
      <c r="H176" s="198">
        <f>'[18]Table 5B1_RSD_Orleans'!D47</f>
        <v>3520.4894337711748</v>
      </c>
      <c r="I176" s="198">
        <f>'[18]Table 5B1_RSD_Orleans'!F47</f>
        <v>776.90344307346322</v>
      </c>
      <c r="J176" s="198">
        <f t="shared" si="59"/>
        <v>4297.3928768446385</v>
      </c>
      <c r="K176" s="335">
        <f t="shared" si="60"/>
        <v>-17189.571507378554</v>
      </c>
      <c r="L176" s="198">
        <f t="shared" si="61"/>
        <v>0</v>
      </c>
      <c r="M176" s="198">
        <f t="shared" si="62"/>
        <v>-17189.571507378554</v>
      </c>
    </row>
    <row r="177" spans="1:13" s="330" customFormat="1" ht="14.25" customHeight="1">
      <c r="A177" s="427">
        <v>393002</v>
      </c>
      <c r="B177" s="323" t="s">
        <v>372</v>
      </c>
      <c r="C177" s="162">
        <f>'[18]Table 5B1_RSD_Orleans'!C48</f>
        <v>466</v>
      </c>
      <c r="D177" s="166">
        <f>'[17]10.1.13 Type 5 Charters by Site'!D44</f>
        <v>472</v>
      </c>
      <c r="E177" s="163">
        <f t="shared" si="56"/>
        <v>6</v>
      </c>
      <c r="F177" s="163">
        <f t="shared" si="57"/>
        <v>6</v>
      </c>
      <c r="G177" s="163">
        <f t="shared" si="58"/>
        <v>0</v>
      </c>
      <c r="H177" s="167">
        <f>'[18]Table 5B1_RSD_Orleans'!D48</f>
        <v>3520.4894337711748</v>
      </c>
      <c r="I177" s="167">
        <f>'[18]Table 5B1_RSD_Orleans'!F48</f>
        <v>642.89065513553726</v>
      </c>
      <c r="J177" s="167">
        <f t="shared" si="59"/>
        <v>4163.3800889067124</v>
      </c>
      <c r="K177" s="165">
        <f t="shared" si="60"/>
        <v>24980.280533440273</v>
      </c>
      <c r="L177" s="167">
        <f t="shared" si="61"/>
        <v>24980.280533440273</v>
      </c>
      <c r="M177" s="167">
        <f t="shared" si="62"/>
        <v>0</v>
      </c>
    </row>
    <row r="178" spans="1:13" s="330" customFormat="1" ht="14.25" customHeight="1">
      <c r="A178" s="429">
        <v>393003</v>
      </c>
      <c r="B178" s="323" t="s">
        <v>318</v>
      </c>
      <c r="C178" s="162">
        <f>'[18]Table 5B1_RSD_Orleans'!C49</f>
        <v>444</v>
      </c>
      <c r="D178" s="166">
        <f>'[17]10.1.13 Type 5 Charters by Site'!D45</f>
        <v>442</v>
      </c>
      <c r="E178" s="163">
        <f t="shared" si="56"/>
        <v>-2</v>
      </c>
      <c r="F178" s="163">
        <f t="shared" si="57"/>
        <v>0</v>
      </c>
      <c r="G178" s="163">
        <f t="shared" si="58"/>
        <v>-2</v>
      </c>
      <c r="H178" s="167">
        <f>'[18]Table 5B1_RSD_Orleans'!D49</f>
        <v>3520.4894337711748</v>
      </c>
      <c r="I178" s="167">
        <f>'[18]Table 5B1_RSD_Orleans'!F49</f>
        <v>746.0335616438357</v>
      </c>
      <c r="J178" s="167">
        <f t="shared" si="59"/>
        <v>4266.5229954150109</v>
      </c>
      <c r="K178" s="165">
        <f t="shared" si="60"/>
        <v>-8533.0459908300218</v>
      </c>
      <c r="L178" s="167">
        <f t="shared" si="61"/>
        <v>0</v>
      </c>
      <c r="M178" s="167">
        <f t="shared" si="62"/>
        <v>-8533.0459908300218</v>
      </c>
    </row>
    <row r="179" spans="1:13" s="330" customFormat="1" ht="14.25" customHeight="1">
      <c r="A179" s="427">
        <v>395001</v>
      </c>
      <c r="B179" s="323" t="s">
        <v>319</v>
      </c>
      <c r="C179" s="162">
        <f>'[18]Table 5B1_RSD_Orleans'!C50</f>
        <v>673</v>
      </c>
      <c r="D179" s="166">
        <f>'[17]10.1.13 Type 5 Charters by Site'!D46</f>
        <v>679</v>
      </c>
      <c r="E179" s="163">
        <f t="shared" si="56"/>
        <v>6</v>
      </c>
      <c r="F179" s="163">
        <f t="shared" si="57"/>
        <v>6</v>
      </c>
      <c r="G179" s="163">
        <f t="shared" si="58"/>
        <v>0</v>
      </c>
      <c r="H179" s="167">
        <f>'[18]Table 5B1_RSD_Orleans'!D50</f>
        <v>3520.4894337711748</v>
      </c>
      <c r="I179" s="167">
        <f>'[18]Table 5B1_RSD_Orleans'!F50</f>
        <v>678.38194087511556</v>
      </c>
      <c r="J179" s="167">
        <f t="shared" si="59"/>
        <v>4198.8713746462909</v>
      </c>
      <c r="K179" s="165">
        <f t="shared" si="60"/>
        <v>25193.228247877745</v>
      </c>
      <c r="L179" s="167">
        <f t="shared" si="61"/>
        <v>25193.228247877745</v>
      </c>
      <c r="M179" s="167">
        <f t="shared" si="62"/>
        <v>0</v>
      </c>
    </row>
    <row r="180" spans="1:13" s="330" customFormat="1" ht="14.25" customHeight="1">
      <c r="A180" s="430">
        <v>395002</v>
      </c>
      <c r="B180" s="327" t="s">
        <v>320</v>
      </c>
      <c r="C180" s="171">
        <f>'[18]Table 5B1_RSD_Orleans'!C51</f>
        <v>606</v>
      </c>
      <c r="D180" s="171">
        <f>'[17]10.1.13 Type 5 Charters by Site'!D47</f>
        <v>765</v>
      </c>
      <c r="E180" s="172">
        <f t="shared" si="56"/>
        <v>159</v>
      </c>
      <c r="F180" s="172">
        <f t="shared" si="57"/>
        <v>159</v>
      </c>
      <c r="G180" s="172">
        <f t="shared" si="58"/>
        <v>0</v>
      </c>
      <c r="H180" s="173">
        <f>'[18]Table 5B1_RSD_Orleans'!D51</f>
        <v>3520.4894337711748</v>
      </c>
      <c r="I180" s="173">
        <f>'[18]Table 5B1_RSD_Orleans'!F51</f>
        <v>686.92241021135874</v>
      </c>
      <c r="J180" s="173">
        <f t="shared" si="59"/>
        <v>4207.4118439825334</v>
      </c>
      <c r="K180" s="175">
        <f t="shared" si="60"/>
        <v>668978.48319322278</v>
      </c>
      <c r="L180" s="173">
        <f t="shared" si="61"/>
        <v>668978.48319322278</v>
      </c>
      <c r="M180" s="173">
        <f t="shared" si="62"/>
        <v>0</v>
      </c>
    </row>
    <row r="181" spans="1:13" s="330" customFormat="1" ht="14.25" customHeight="1">
      <c r="A181" s="427">
        <v>395003</v>
      </c>
      <c r="B181" s="323" t="s">
        <v>321</v>
      </c>
      <c r="C181" s="162">
        <f>'[18]Table 5B1_RSD_Orleans'!C52</f>
        <v>634</v>
      </c>
      <c r="D181" s="162">
        <f>'[17]10.1.13 Type 5 Charters by Site'!D48</f>
        <v>612</v>
      </c>
      <c r="E181" s="163">
        <f t="shared" si="56"/>
        <v>-22</v>
      </c>
      <c r="F181" s="163">
        <f t="shared" si="57"/>
        <v>0</v>
      </c>
      <c r="G181" s="163">
        <f t="shared" si="58"/>
        <v>-22</v>
      </c>
      <c r="H181" s="164">
        <f>'[18]Table 5B1_RSD_Orleans'!D52</f>
        <v>3520.4894337711748</v>
      </c>
      <c r="I181" s="164">
        <f>'[18]Table 5B1_RSD_Orleans'!F52</f>
        <v>761.3587570202327</v>
      </c>
      <c r="J181" s="164">
        <f t="shared" si="59"/>
        <v>4281.8481907914074</v>
      </c>
      <c r="K181" s="165">
        <f t="shared" si="60"/>
        <v>-94200.660197410965</v>
      </c>
      <c r="L181" s="164">
        <f t="shared" si="61"/>
        <v>0</v>
      </c>
      <c r="M181" s="164">
        <f t="shared" si="62"/>
        <v>-94200.660197410965</v>
      </c>
    </row>
    <row r="182" spans="1:13" s="330" customFormat="1" ht="13.5" customHeight="1">
      <c r="A182" s="427">
        <v>395004</v>
      </c>
      <c r="B182" s="323" t="s">
        <v>322</v>
      </c>
      <c r="C182" s="162">
        <f>'[18]Table 5B1_RSD_Orleans'!C53</f>
        <v>475</v>
      </c>
      <c r="D182" s="166">
        <f>'[17]10.1.13 Type 5 Charters by Site'!D49</f>
        <v>544</v>
      </c>
      <c r="E182" s="163">
        <f t="shared" si="56"/>
        <v>69</v>
      </c>
      <c r="F182" s="163">
        <f t="shared" si="57"/>
        <v>69</v>
      </c>
      <c r="G182" s="163">
        <f t="shared" si="58"/>
        <v>0</v>
      </c>
      <c r="H182" s="167">
        <f>'[18]Table 5B1_RSD_Orleans'!D53</f>
        <v>3520.4894337711748</v>
      </c>
      <c r="I182" s="167">
        <f>'[18]Table 5B1_RSD_Orleans'!F53</f>
        <v>1003.4698393033485</v>
      </c>
      <c r="J182" s="167">
        <f t="shared" si="59"/>
        <v>4523.9592730745235</v>
      </c>
      <c r="K182" s="165">
        <f t="shared" si="60"/>
        <v>312153.18984214211</v>
      </c>
      <c r="L182" s="167">
        <f t="shared" si="61"/>
        <v>312153.18984214211</v>
      </c>
      <c r="M182" s="167">
        <f t="shared" si="62"/>
        <v>0</v>
      </c>
    </row>
    <row r="183" spans="1:13" s="330" customFormat="1" ht="13.5" customHeight="1">
      <c r="A183" s="427">
        <v>395005</v>
      </c>
      <c r="B183" s="325" t="s">
        <v>323</v>
      </c>
      <c r="C183" s="162">
        <f>'[18]Table 5B1_RSD_Orleans'!C54</f>
        <v>879</v>
      </c>
      <c r="D183" s="166">
        <f>'[17]10.1.13 Type 5 Charters by Site'!D50</f>
        <v>1173</v>
      </c>
      <c r="E183" s="163">
        <f t="shared" si="56"/>
        <v>294</v>
      </c>
      <c r="F183" s="163">
        <f t="shared" si="57"/>
        <v>294</v>
      </c>
      <c r="G183" s="163">
        <f t="shared" si="58"/>
        <v>0</v>
      </c>
      <c r="H183" s="167">
        <f>'[18]Table 5B1_RSD_Orleans'!D54</f>
        <v>3520.4894337711748</v>
      </c>
      <c r="I183" s="167">
        <f>'[18]Table 5B1_RSD_Orleans'!F54</f>
        <v>592.05529010815155</v>
      </c>
      <c r="J183" s="167">
        <f t="shared" si="59"/>
        <v>4112.5447238793267</v>
      </c>
      <c r="K183" s="165">
        <f t="shared" si="60"/>
        <v>1209088.148820522</v>
      </c>
      <c r="L183" s="167">
        <f t="shared" si="61"/>
        <v>1209088.148820522</v>
      </c>
      <c r="M183" s="167">
        <f t="shared" si="62"/>
        <v>0</v>
      </c>
    </row>
    <row r="184" spans="1:13" s="330" customFormat="1" ht="13.5" customHeight="1">
      <c r="A184" s="427">
        <v>395007</v>
      </c>
      <c r="B184" s="323" t="s">
        <v>324</v>
      </c>
      <c r="C184" s="162">
        <f>'[18]Table 5B1_RSD_Orleans'!C55</f>
        <v>261</v>
      </c>
      <c r="D184" s="166">
        <f>'[17]10.1.13 Type 5 Charters by Site'!D51</f>
        <v>223</v>
      </c>
      <c r="E184" s="163">
        <f t="shared" si="56"/>
        <v>-38</v>
      </c>
      <c r="F184" s="163">
        <f t="shared" si="57"/>
        <v>0</v>
      </c>
      <c r="G184" s="163">
        <f t="shared" si="58"/>
        <v>-38</v>
      </c>
      <c r="H184" s="167">
        <f>'[18]Table 5B1_RSD_Orleans'!D55</f>
        <v>3520.4894337711748</v>
      </c>
      <c r="I184" s="167">
        <f>'[18]Table 5B1_RSD_Orleans'!F55</f>
        <v>907.69666061705993</v>
      </c>
      <c r="J184" s="167">
        <f t="shared" si="59"/>
        <v>4428.1860943882348</v>
      </c>
      <c r="K184" s="165">
        <f t="shared" si="60"/>
        <v>-168271.07158675292</v>
      </c>
      <c r="L184" s="167">
        <f t="shared" si="61"/>
        <v>0</v>
      </c>
      <c r="M184" s="167">
        <f t="shared" si="62"/>
        <v>-168271.07158675292</v>
      </c>
    </row>
    <row r="185" spans="1:13" s="330" customFormat="1" ht="13.5" customHeight="1">
      <c r="A185" s="426">
        <v>397001</v>
      </c>
      <c r="B185" s="323" t="s">
        <v>373</v>
      </c>
      <c r="C185" s="162">
        <f>'[18]Table 5B1_RSD_Orleans'!C56</f>
        <v>483</v>
      </c>
      <c r="D185" s="162">
        <f>'[17]10.1.13 Type 5 Charters by Site'!D52</f>
        <v>470</v>
      </c>
      <c r="E185" s="163">
        <f t="shared" si="56"/>
        <v>-13</v>
      </c>
      <c r="F185" s="163">
        <f t="shared" si="57"/>
        <v>0</v>
      </c>
      <c r="G185" s="163">
        <f t="shared" si="58"/>
        <v>-13</v>
      </c>
      <c r="H185" s="164">
        <f>'[18]Table 5B1_RSD_Orleans'!D56</f>
        <v>3520.4894337711748</v>
      </c>
      <c r="I185" s="164">
        <f>'[18]Table 5B1_RSD_Orleans'!F56</f>
        <v>741.72363820787723</v>
      </c>
      <c r="J185" s="164">
        <f t="shared" si="59"/>
        <v>4262.2130719790521</v>
      </c>
      <c r="K185" s="165">
        <f t="shared" si="60"/>
        <v>-55408.76993572768</v>
      </c>
      <c r="L185" s="164">
        <f t="shared" si="61"/>
        <v>0</v>
      </c>
      <c r="M185" s="164">
        <f t="shared" si="62"/>
        <v>-55408.76993572768</v>
      </c>
    </row>
    <row r="186" spans="1:13" s="330" customFormat="1" ht="13.5" customHeight="1">
      <c r="A186" s="433">
        <v>398001</v>
      </c>
      <c r="B186" s="337" t="s">
        <v>326</v>
      </c>
      <c r="C186" s="196">
        <f>'[18]Table 5B1_RSD_Orleans'!C57</f>
        <v>603</v>
      </c>
      <c r="D186" s="196">
        <f>'[17]10.1.13 Type 5 Charters by Site'!D53</f>
        <v>722</v>
      </c>
      <c r="E186" s="333">
        <f t="shared" si="56"/>
        <v>119</v>
      </c>
      <c r="F186" s="333">
        <f t="shared" si="57"/>
        <v>119</v>
      </c>
      <c r="G186" s="333">
        <f t="shared" si="58"/>
        <v>0</v>
      </c>
      <c r="H186" s="198">
        <f>'[18]Table 5B1_RSD_Orleans'!D57</f>
        <v>3520.4894337711748</v>
      </c>
      <c r="I186" s="198">
        <f>'[18]Table 5B1_RSD_Orleans'!F57</f>
        <v>643.94778836855926</v>
      </c>
      <c r="J186" s="198">
        <f t="shared" si="59"/>
        <v>4164.4372221397343</v>
      </c>
      <c r="K186" s="335">
        <f t="shared" si="60"/>
        <v>495568.02943462838</v>
      </c>
      <c r="L186" s="198">
        <f t="shared" si="61"/>
        <v>495568.02943462838</v>
      </c>
      <c r="M186" s="198">
        <f t="shared" si="62"/>
        <v>0</v>
      </c>
    </row>
    <row r="187" spans="1:13" s="330" customFormat="1" ht="13.5" customHeight="1">
      <c r="A187" s="426">
        <v>398002</v>
      </c>
      <c r="B187" s="323" t="s">
        <v>327</v>
      </c>
      <c r="C187" s="162">
        <f>'[18]Table 5B1_RSD_Orleans'!C58</f>
        <v>763</v>
      </c>
      <c r="D187" s="166">
        <f>'[17]10.1.13 Type 5 Charters by Site'!D54</f>
        <v>867</v>
      </c>
      <c r="E187" s="163">
        <f t="shared" si="56"/>
        <v>104</v>
      </c>
      <c r="F187" s="163">
        <f t="shared" si="57"/>
        <v>104</v>
      </c>
      <c r="G187" s="163">
        <f t="shared" si="58"/>
        <v>0</v>
      </c>
      <c r="H187" s="167">
        <f>'[18]Table 5B1_RSD_Orleans'!D58</f>
        <v>3520.4894337711748</v>
      </c>
      <c r="I187" s="167">
        <f>'[18]Table 5B1_RSD_Orleans'!F58</f>
        <v>724.79250196607131</v>
      </c>
      <c r="J187" s="167">
        <f t="shared" si="59"/>
        <v>4245.2819357372464</v>
      </c>
      <c r="K187" s="165">
        <f t="shared" si="60"/>
        <v>441509.32131667365</v>
      </c>
      <c r="L187" s="167">
        <f t="shared" si="61"/>
        <v>441509.32131667365</v>
      </c>
      <c r="M187" s="167">
        <f t="shared" si="62"/>
        <v>0</v>
      </c>
    </row>
    <row r="188" spans="1:13" s="330" customFormat="1" ht="13.5" customHeight="1">
      <c r="A188" s="427">
        <v>398003</v>
      </c>
      <c r="B188" s="323" t="s">
        <v>328</v>
      </c>
      <c r="C188" s="162">
        <f>'[18]Table 5B1_RSD_Orleans'!C59</f>
        <v>405</v>
      </c>
      <c r="D188" s="166">
        <f>'[17]10.1.13 Type 5 Charters by Site'!D55</f>
        <v>425</v>
      </c>
      <c r="E188" s="163">
        <f t="shared" si="56"/>
        <v>20</v>
      </c>
      <c r="F188" s="163">
        <f t="shared" si="57"/>
        <v>20</v>
      </c>
      <c r="G188" s="163">
        <f t="shared" si="58"/>
        <v>0</v>
      </c>
      <c r="H188" s="167">
        <f>'[18]Table 5B1_RSD_Orleans'!D59</f>
        <v>3520.4894337711748</v>
      </c>
      <c r="I188" s="167">
        <f>'[18]Table 5B1_RSD_Orleans'!F59</f>
        <v>592.5310423197493</v>
      </c>
      <c r="J188" s="167">
        <f t="shared" si="59"/>
        <v>4113.0204760909237</v>
      </c>
      <c r="K188" s="165">
        <f t="shared" si="60"/>
        <v>82260.409521818481</v>
      </c>
      <c r="L188" s="167">
        <f t="shared" si="61"/>
        <v>82260.409521818481</v>
      </c>
      <c r="M188" s="167">
        <f t="shared" si="62"/>
        <v>0</v>
      </c>
    </row>
    <row r="189" spans="1:13" s="330" customFormat="1" ht="13.5" customHeight="1">
      <c r="A189" s="427">
        <v>398004</v>
      </c>
      <c r="B189" s="323" t="s">
        <v>329</v>
      </c>
      <c r="C189" s="162">
        <f>'[18]Table 5B1_RSD_Orleans'!C60</f>
        <v>513</v>
      </c>
      <c r="D189" s="166">
        <f>'[17]10.1.13 Type 5 Charters by Site'!D56</f>
        <v>523</v>
      </c>
      <c r="E189" s="163">
        <f t="shared" si="56"/>
        <v>10</v>
      </c>
      <c r="F189" s="163">
        <f t="shared" si="57"/>
        <v>10</v>
      </c>
      <c r="G189" s="163">
        <f t="shared" si="58"/>
        <v>0</v>
      </c>
      <c r="H189" s="167">
        <f>'[18]Table 5B1_RSD_Orleans'!D60</f>
        <v>3520.4894337711748</v>
      </c>
      <c r="I189" s="167">
        <f>'[18]Table 5B1_RSD_Orleans'!F60</f>
        <v>741.31578947368428</v>
      </c>
      <c r="J189" s="167">
        <f t="shared" si="59"/>
        <v>4261.805223244859</v>
      </c>
      <c r="K189" s="165">
        <f t="shared" si="60"/>
        <v>42618.052232448594</v>
      </c>
      <c r="L189" s="167">
        <f t="shared" si="61"/>
        <v>42618.052232448594</v>
      </c>
      <c r="M189" s="167">
        <f t="shared" si="62"/>
        <v>0</v>
      </c>
    </row>
    <row r="190" spans="1:13" s="330" customFormat="1" ht="13.5" customHeight="1">
      <c r="A190" s="430">
        <v>398005</v>
      </c>
      <c r="B190" s="327" t="s">
        <v>330</v>
      </c>
      <c r="C190" s="171">
        <f>'[18]Table 5B1_RSD_Orleans'!C61</f>
        <v>343</v>
      </c>
      <c r="D190" s="171">
        <f>'[17]10.1.13 Type 5 Charters by Site'!D57</f>
        <v>433</v>
      </c>
      <c r="E190" s="172">
        <f t="shared" si="56"/>
        <v>90</v>
      </c>
      <c r="F190" s="172">
        <f t="shared" si="57"/>
        <v>90</v>
      </c>
      <c r="G190" s="172">
        <f t="shared" si="58"/>
        <v>0</v>
      </c>
      <c r="H190" s="173">
        <f>'[18]Table 5B1_RSD_Orleans'!D61</f>
        <v>3520.4894337711748</v>
      </c>
      <c r="I190" s="173">
        <f>'[18]Table 5B1_RSD_Orleans'!F61</f>
        <v>746.0335616438357</v>
      </c>
      <c r="J190" s="173">
        <f t="shared" si="59"/>
        <v>4266.5229954150109</v>
      </c>
      <c r="K190" s="175">
        <f t="shared" si="60"/>
        <v>383987.069587351</v>
      </c>
      <c r="L190" s="173">
        <f t="shared" si="61"/>
        <v>383987.069587351</v>
      </c>
      <c r="M190" s="173">
        <f t="shared" si="62"/>
        <v>0</v>
      </c>
    </row>
    <row r="191" spans="1:13" s="330" customFormat="1" ht="13.5" customHeight="1">
      <c r="A191" s="427">
        <v>398006</v>
      </c>
      <c r="B191" s="323" t="s">
        <v>331</v>
      </c>
      <c r="C191" s="162">
        <f>'[18]Table 5B1_RSD_Orleans'!C62</f>
        <v>514</v>
      </c>
      <c r="D191" s="162">
        <f>'[17]10.1.13 Type 5 Charters by Site'!D58</f>
        <v>785</v>
      </c>
      <c r="E191" s="163">
        <f t="shared" si="56"/>
        <v>271</v>
      </c>
      <c r="F191" s="163">
        <f t="shared" si="57"/>
        <v>271</v>
      </c>
      <c r="G191" s="163">
        <f t="shared" si="58"/>
        <v>0</v>
      </c>
      <c r="H191" s="164">
        <f>'[18]Table 5B1_RSD_Orleans'!D62</f>
        <v>3520.4894337711748</v>
      </c>
      <c r="I191" s="164">
        <f>'[18]Table 5B1_RSD_Orleans'!F62</f>
        <v>746.0335616438357</v>
      </c>
      <c r="J191" s="164">
        <f t="shared" si="59"/>
        <v>4266.5229954150109</v>
      </c>
      <c r="K191" s="165">
        <f t="shared" si="60"/>
        <v>1156227.7317574678</v>
      </c>
      <c r="L191" s="164">
        <f t="shared" si="61"/>
        <v>1156227.7317574678</v>
      </c>
      <c r="M191" s="164">
        <f t="shared" si="62"/>
        <v>0</v>
      </c>
    </row>
    <row r="192" spans="1:13" ht="13.5" customHeight="1">
      <c r="A192" s="427">
        <v>399001</v>
      </c>
      <c r="B192" s="323" t="s">
        <v>332</v>
      </c>
      <c r="C192" s="162">
        <f>'[18]Table 5B1_RSD_Orleans'!C63</f>
        <v>508</v>
      </c>
      <c r="D192" s="166">
        <f>'[17]10.1.13 Type 5 Charters by Site'!D59</f>
        <v>487</v>
      </c>
      <c r="E192" s="163">
        <f t="shared" si="56"/>
        <v>-21</v>
      </c>
      <c r="F192" s="163">
        <f t="shared" si="57"/>
        <v>0</v>
      </c>
      <c r="G192" s="163">
        <f t="shared" si="58"/>
        <v>-21</v>
      </c>
      <c r="H192" s="167">
        <f>'[18]Table 5B1_RSD_Orleans'!D63</f>
        <v>3520.4894337711748</v>
      </c>
      <c r="I192" s="167">
        <f>'[18]Table 5B1_RSD_Orleans'!F63</f>
        <v>752.85062142702634</v>
      </c>
      <c r="J192" s="167">
        <f t="shared" si="59"/>
        <v>4273.3400551982013</v>
      </c>
      <c r="K192" s="165">
        <f t="shared" si="60"/>
        <v>-89740.141159162231</v>
      </c>
      <c r="L192" s="167">
        <f t="shared" si="61"/>
        <v>0</v>
      </c>
      <c r="M192" s="167">
        <f t="shared" si="62"/>
        <v>-89740.141159162231</v>
      </c>
    </row>
    <row r="193" spans="1:13" ht="13.5" customHeight="1">
      <c r="A193" s="427">
        <v>399002</v>
      </c>
      <c r="B193" s="323" t="s">
        <v>374</v>
      </c>
      <c r="C193" s="162">
        <f>'[18]Table 5B1_RSD_Orleans'!C64</f>
        <v>485</v>
      </c>
      <c r="D193" s="166">
        <f>'[17]10.1.13 Type 5 Charters by Site'!D60</f>
        <v>593</v>
      </c>
      <c r="E193" s="163">
        <f t="shared" si="56"/>
        <v>108</v>
      </c>
      <c r="F193" s="163">
        <f t="shared" si="57"/>
        <v>108</v>
      </c>
      <c r="G193" s="163">
        <f t="shared" si="58"/>
        <v>0</v>
      </c>
      <c r="H193" s="167">
        <f>'[18]Table 5B1_RSD_Orleans'!D64</f>
        <v>3520.4894337711748</v>
      </c>
      <c r="I193" s="167">
        <f>'[18]Table 5B1_RSD_Orleans'!F64</f>
        <v>803.97152919927748</v>
      </c>
      <c r="J193" s="167">
        <f t="shared" si="59"/>
        <v>4324.4609629704519</v>
      </c>
      <c r="K193" s="165">
        <f t="shared" si="60"/>
        <v>467041.78400080878</v>
      </c>
      <c r="L193" s="167">
        <f t="shared" si="61"/>
        <v>467041.78400080878</v>
      </c>
      <c r="M193" s="167">
        <f t="shared" si="62"/>
        <v>0</v>
      </c>
    </row>
    <row r="194" spans="1:13" ht="13.5" customHeight="1">
      <c r="A194" s="427">
        <v>399003</v>
      </c>
      <c r="B194" s="325" t="s">
        <v>334</v>
      </c>
      <c r="C194" s="162">
        <f>'[18]Table 5B1_RSD_Orleans'!C65</f>
        <v>394</v>
      </c>
      <c r="D194" s="166">
        <f>'[17]10.1.13 Type 5 Charters by Site'!D61</f>
        <v>395</v>
      </c>
      <c r="E194" s="163">
        <f t="shared" si="56"/>
        <v>1</v>
      </c>
      <c r="F194" s="163">
        <f t="shared" si="57"/>
        <v>1</v>
      </c>
      <c r="G194" s="163">
        <f t="shared" si="58"/>
        <v>0</v>
      </c>
      <c r="H194" s="167">
        <f>'[18]Table 5B1_RSD_Orleans'!D65</f>
        <v>3520.4894337711748</v>
      </c>
      <c r="I194" s="167">
        <f>'[18]Table 5B1_RSD_Orleans'!F65</f>
        <v>746.0335616438357</v>
      </c>
      <c r="J194" s="167">
        <f t="shared" si="59"/>
        <v>4266.5229954150109</v>
      </c>
      <c r="K194" s="165">
        <f t="shared" si="60"/>
        <v>4266.5229954150109</v>
      </c>
      <c r="L194" s="164">
        <f t="shared" si="61"/>
        <v>4266.5229954150109</v>
      </c>
      <c r="M194" s="164">
        <f t="shared" si="62"/>
        <v>0</v>
      </c>
    </row>
    <row r="195" spans="1:13" ht="13.5" customHeight="1">
      <c r="A195" s="427">
        <v>399004</v>
      </c>
      <c r="B195" s="339" t="s">
        <v>335</v>
      </c>
      <c r="C195" s="162">
        <f>'[18]Table 5B1_RSD_Orleans'!C66</f>
        <v>472</v>
      </c>
      <c r="D195" s="166">
        <f>'[17]10.1.13 Type 5 Charters by Site'!D62</f>
        <v>504</v>
      </c>
      <c r="E195" s="163">
        <f>D195-C195</f>
        <v>32</v>
      </c>
      <c r="F195" s="163">
        <f>IF(E195&gt;0,E195,0)</f>
        <v>32</v>
      </c>
      <c r="G195" s="163">
        <f>IF(E195&lt;0,E195,0)</f>
        <v>0</v>
      </c>
      <c r="H195" s="167">
        <f>'[18]Table 5B1_RSD_Orleans'!D66</f>
        <v>3520.4894337711748</v>
      </c>
      <c r="I195" s="167">
        <f>'[18]Table 5B1_RSD_Orleans'!F66</f>
        <v>746.0335616438357</v>
      </c>
      <c r="J195" s="167">
        <f>H195+I195</f>
        <v>4266.5229954150109</v>
      </c>
      <c r="K195" s="165">
        <f>E195*J195</f>
        <v>136528.73585328035</v>
      </c>
      <c r="L195" s="167">
        <f>IF(K195&gt;0,K195,0)</f>
        <v>136528.73585328035</v>
      </c>
      <c r="M195" s="167">
        <f>IF(K195&lt;0,K195,0)</f>
        <v>0</v>
      </c>
    </row>
    <row r="196" spans="1:13" ht="13.5" customHeight="1">
      <c r="A196" s="432">
        <v>399005</v>
      </c>
      <c r="B196" s="340" t="s">
        <v>375</v>
      </c>
      <c r="C196" s="196">
        <f>'[18]Table 5B1_RSD_Orleans'!C67</f>
        <v>645</v>
      </c>
      <c r="D196" s="180">
        <f>'[17]10.1.13 Type 5 Charters by Site'!D63</f>
        <v>765</v>
      </c>
      <c r="E196" s="333">
        <f t="shared" si="56"/>
        <v>120</v>
      </c>
      <c r="F196" s="333">
        <f t="shared" si="57"/>
        <v>120</v>
      </c>
      <c r="G196" s="333">
        <f t="shared" si="58"/>
        <v>0</v>
      </c>
      <c r="H196" s="334">
        <f>'[18]Table 5B1_RSD_Orleans'!D67</f>
        <v>3520.4894337711748</v>
      </c>
      <c r="I196" s="334">
        <f>'[18]Table 5B1_RSD_Orleans'!F67</f>
        <v>746.0335616438357</v>
      </c>
      <c r="J196" s="334">
        <f t="shared" si="59"/>
        <v>4266.5229954150109</v>
      </c>
      <c r="K196" s="335">
        <f t="shared" si="60"/>
        <v>511982.75944980129</v>
      </c>
      <c r="L196" s="334">
        <f t="shared" si="61"/>
        <v>511982.75944980129</v>
      </c>
      <c r="M196" s="334">
        <f t="shared" si="62"/>
        <v>0</v>
      </c>
    </row>
    <row r="197" spans="1:13" ht="13.5" customHeight="1">
      <c r="A197" s="434" t="s">
        <v>44</v>
      </c>
      <c r="B197" s="342" t="s">
        <v>45</v>
      </c>
      <c r="C197" s="171">
        <f>'[18]Table 5B1_RSD_Orleans'!C68</f>
        <v>626</v>
      </c>
      <c r="D197" s="170">
        <f>'[17]10.1.13 Type 5 Charters by Site'!D64</f>
        <v>601</v>
      </c>
      <c r="E197" s="172">
        <f t="shared" si="56"/>
        <v>-25</v>
      </c>
      <c r="F197" s="172">
        <f t="shared" si="57"/>
        <v>0</v>
      </c>
      <c r="G197" s="172">
        <f t="shared" si="58"/>
        <v>-25</v>
      </c>
      <c r="H197" s="174">
        <f>'[18]Table 5B1_RSD_Orleans'!D68</f>
        <v>3520.4894337711748</v>
      </c>
      <c r="I197" s="174">
        <f>'[18]Table 5B1_RSD_Orleans'!F68</f>
        <v>746.0335616438357</v>
      </c>
      <c r="J197" s="174">
        <f t="shared" si="59"/>
        <v>4266.5229954150109</v>
      </c>
      <c r="K197" s="175">
        <f t="shared" si="60"/>
        <v>-106663.07488537527</v>
      </c>
      <c r="L197" s="174">
        <f t="shared" si="61"/>
        <v>0</v>
      </c>
      <c r="M197" s="174">
        <f t="shared" si="62"/>
        <v>-106663.07488537527</v>
      </c>
    </row>
    <row r="198" spans="1:13" s="190" customFormat="1" ht="15.75" thickBot="1">
      <c r="A198" s="406"/>
      <c r="B198" s="364" t="s">
        <v>338</v>
      </c>
      <c r="C198" s="365">
        <f>SUM(C141:C197)</f>
        <v>26595</v>
      </c>
      <c r="D198" s="365">
        <f>SUM(D141:D197)</f>
        <v>28131</v>
      </c>
      <c r="E198" s="365">
        <f>SUM(E141:E197)</f>
        <v>1536</v>
      </c>
      <c r="F198" s="365">
        <f>SUM(F141:F197)</f>
        <v>2336</v>
      </c>
      <c r="G198" s="365">
        <f>SUM(G141:G197)</f>
        <v>-800</v>
      </c>
      <c r="H198" s="366"/>
      <c r="I198" s="366"/>
      <c r="J198" s="366"/>
      <c r="K198" s="366">
        <f>SUM(K141:K197)</f>
        <v>6505538.7681770287</v>
      </c>
      <c r="L198" s="366">
        <f>SUM(L141:L197)</f>
        <v>9914513.1994363125</v>
      </c>
      <c r="M198" s="366">
        <f>SUM(M141:M197)</f>
        <v>-3408974.4312592829</v>
      </c>
    </row>
    <row r="199" spans="1:13" ht="6.75" hidden="1" customHeight="1" thickTop="1">
      <c r="A199" s="425"/>
      <c r="B199" s="343"/>
      <c r="C199" s="318"/>
      <c r="D199" s="318"/>
      <c r="E199" s="319"/>
      <c r="F199" s="319"/>
      <c r="G199" s="319"/>
      <c r="H199" s="320"/>
      <c r="I199" s="320"/>
      <c r="J199" s="320"/>
      <c r="K199" s="320"/>
      <c r="L199" s="320"/>
      <c r="M199" s="320"/>
    </row>
    <row r="200" spans="1:13" ht="14.25" hidden="1" customHeight="1">
      <c r="A200" s="405">
        <v>389002</v>
      </c>
      <c r="B200" s="344" t="s">
        <v>339</v>
      </c>
      <c r="C200" s="170">
        <f>'[18]Table 5B2_RSD_LA'!$C$17</f>
        <v>497</v>
      </c>
      <c r="D200" s="170">
        <f>'[17]10.1.13 Type 5 Charters by Site'!D38</f>
        <v>566</v>
      </c>
      <c r="E200" s="345">
        <f>D200-C200</f>
        <v>69</v>
      </c>
      <c r="F200" s="345">
        <f>IF(E200&gt;0,E200,0)</f>
        <v>69</v>
      </c>
      <c r="G200" s="345">
        <f>IF(E200&lt;0,E200,0)</f>
        <v>0</v>
      </c>
      <c r="H200" s="174">
        <f>H22</f>
        <v>3313.0666313017805</v>
      </c>
      <c r="I200" s="174">
        <f>'[18]Table 5B2_RSD_LA'!$F$17</f>
        <v>801.47762416806802</v>
      </c>
      <c r="J200" s="174">
        <f>H200+I200</f>
        <v>4114.5442554698484</v>
      </c>
      <c r="K200" s="175">
        <f>E200*J200</f>
        <v>283903.55362741952</v>
      </c>
      <c r="L200" s="174">
        <f>IF(K200&gt;0,K200,0)</f>
        <v>283903.55362741952</v>
      </c>
      <c r="M200" s="173">
        <f>IF(K200&lt;0,K200,0)</f>
        <v>0</v>
      </c>
    </row>
    <row r="201" spans="1:13" s="190" customFormat="1" ht="15.75" hidden="1" thickBot="1">
      <c r="A201" s="406"/>
      <c r="B201" s="364" t="s">
        <v>340</v>
      </c>
      <c r="C201" s="365">
        <f>SUM(C200:C200)</f>
        <v>497</v>
      </c>
      <c r="D201" s="365">
        <f>SUM(D200:D200)</f>
        <v>566</v>
      </c>
      <c r="E201" s="365">
        <f>SUM(E200:E200)</f>
        <v>69</v>
      </c>
      <c r="F201" s="365">
        <f>SUM(F200:F200)</f>
        <v>69</v>
      </c>
      <c r="G201" s="365">
        <f>SUM(G200:G200)</f>
        <v>0</v>
      </c>
      <c r="H201" s="366"/>
      <c r="I201" s="366"/>
      <c r="J201" s="366"/>
      <c r="K201" s="366">
        <f>SUM(K200:K200)</f>
        <v>283903.55362741952</v>
      </c>
      <c r="L201" s="366">
        <f>SUM(L200:L200)</f>
        <v>283903.55362741952</v>
      </c>
      <c r="M201" s="366">
        <f>SUM(M200:M200)</f>
        <v>0</v>
      </c>
    </row>
    <row r="202" spans="1:13" ht="6.75" hidden="1" customHeight="1" thickTop="1">
      <c r="A202" s="425"/>
      <c r="B202" s="343"/>
      <c r="C202" s="318"/>
      <c r="D202" s="318"/>
      <c r="E202" s="319"/>
      <c r="F202" s="319"/>
      <c r="G202" s="319"/>
      <c r="H202" s="320"/>
      <c r="I202" s="320"/>
      <c r="J202" s="320"/>
      <c r="K202" s="320"/>
      <c r="L202" s="320"/>
      <c r="M202" s="320"/>
    </row>
    <row r="203" spans="1:13" ht="13.5" hidden="1" customHeight="1">
      <c r="A203" s="435">
        <v>371001</v>
      </c>
      <c r="B203" s="347" t="s">
        <v>341</v>
      </c>
      <c r="C203" s="348">
        <f>'[18]Table 5B2_RSD_LA'!$C$29</f>
        <v>508</v>
      </c>
      <c r="D203" s="348">
        <f>'[17]10.1.13 Type 5 Charters by Site'!D25</f>
        <v>527</v>
      </c>
      <c r="E203" s="349">
        <f>D203-C203</f>
        <v>19</v>
      </c>
      <c r="F203" s="349">
        <f>IF(E203&gt;0,E203,0)</f>
        <v>19</v>
      </c>
      <c r="G203" s="349">
        <f>IF(E203&lt;0,E203,0)</f>
        <v>0</v>
      </c>
      <c r="H203" s="179">
        <f>H14</f>
        <v>4395.6154516889328</v>
      </c>
      <c r="I203" s="179">
        <f>'[18]Table 5B2_RSD_LA'!$F$29</f>
        <v>744.76</v>
      </c>
      <c r="J203" s="179">
        <f>H203+I203</f>
        <v>5140.375451688933</v>
      </c>
      <c r="K203" s="175">
        <f>E203*J203</f>
        <v>97667.133582089722</v>
      </c>
      <c r="L203" s="179">
        <f>IF(K203&gt;0,K203,0)</f>
        <v>97667.133582089722</v>
      </c>
      <c r="M203" s="179">
        <f>IF(K203&lt;0,K203,0)</f>
        <v>0</v>
      </c>
    </row>
    <row r="204" spans="1:13" s="190" customFormat="1" ht="15.75" hidden="1" thickBot="1">
      <c r="A204" s="406"/>
      <c r="B204" s="364" t="s">
        <v>342</v>
      </c>
      <c r="C204" s="365">
        <f>SUM(C203)</f>
        <v>508</v>
      </c>
      <c r="D204" s="365">
        <f>SUM(D203)</f>
        <v>527</v>
      </c>
      <c r="E204" s="365">
        <f>SUM(E203)</f>
        <v>19</v>
      </c>
      <c r="F204" s="365">
        <f>SUM(F203)</f>
        <v>19</v>
      </c>
      <c r="G204" s="365">
        <f>SUM(G203)</f>
        <v>0</v>
      </c>
      <c r="H204" s="366"/>
      <c r="I204" s="366"/>
      <c r="J204" s="366"/>
      <c r="K204" s="366">
        <f>SUM(K203)</f>
        <v>97667.133582089722</v>
      </c>
      <c r="L204" s="366">
        <f>SUM(L203)</f>
        <v>97667.133582089722</v>
      </c>
      <c r="M204" s="366">
        <f>SUM(M203)</f>
        <v>0</v>
      </c>
    </row>
    <row r="205" spans="1:13" ht="6.75" hidden="1" customHeight="1" thickTop="1">
      <c r="A205" s="425"/>
      <c r="B205" s="343"/>
      <c r="C205" s="318"/>
      <c r="D205" s="318"/>
      <c r="E205" s="319"/>
      <c r="F205" s="319"/>
      <c r="G205" s="319"/>
      <c r="H205" s="320"/>
      <c r="I205" s="320"/>
      <c r="J205" s="320"/>
      <c r="K205" s="320"/>
      <c r="L205" s="320"/>
      <c r="M205" s="320"/>
    </row>
    <row r="206" spans="1:13" s="357" customFormat="1" ht="15.75" hidden="1" thickBot="1">
      <c r="A206" s="436"/>
      <c r="B206" s="388" t="s">
        <v>343</v>
      </c>
      <c r="C206" s="389">
        <v>319.89999999999998</v>
      </c>
      <c r="D206" s="389">
        <v>337.7</v>
      </c>
      <c r="E206" s="389">
        <f>D206-C206</f>
        <v>17.800000000000011</v>
      </c>
      <c r="F206" s="389">
        <f>IF(E206&gt;0,E206,0)</f>
        <v>17.800000000000011</v>
      </c>
      <c r="G206" s="389">
        <f>IF(E206&lt;0,E206,0)</f>
        <v>0</v>
      </c>
      <c r="H206" s="390"/>
      <c r="I206" s="390"/>
      <c r="J206" s="390"/>
      <c r="K206" s="391">
        <v>135456</v>
      </c>
      <c r="L206" s="392">
        <f>IF(K206&gt;0,K206,0)</f>
        <v>135456</v>
      </c>
      <c r="M206" s="393">
        <f>IF(K206&lt;0,K206,0)</f>
        <v>0</v>
      </c>
    </row>
    <row r="207" spans="1:13" ht="6.75" hidden="1" customHeight="1" thickTop="1">
      <c r="A207" s="437"/>
      <c r="B207" s="359"/>
      <c r="C207" s="360"/>
      <c r="D207" s="360"/>
      <c r="E207" s="361"/>
      <c r="F207" s="361"/>
      <c r="G207" s="361"/>
      <c r="H207" s="362"/>
      <c r="I207" s="362"/>
      <c r="J207" s="362"/>
      <c r="K207" s="362"/>
      <c r="L207" s="362"/>
      <c r="M207" s="362"/>
    </row>
    <row r="208" spans="1:13" s="190" customFormat="1" ht="15.75" hidden="1" thickBot="1">
      <c r="A208" s="406"/>
      <c r="B208" s="364" t="s">
        <v>344</v>
      </c>
      <c r="C208" s="365">
        <f>C75+C79+C81+C83+C94+C96+C98+C100+C102+C104+C106+C108+C110+C112+C114+C116+C118+C120+C122+C124+C126+C139+C198+C201+C204+C206</f>
        <v>682333.9</v>
      </c>
      <c r="D208" s="365">
        <f t="shared" ref="D208:G208" si="63">D75+D79+D81+D83+D94+D96+D98+D100+D102+D104+D106+D108+D110+D112+D114+D116+D118+D120+D122+D124+D126+D139+D198+D201+D204+D206</f>
        <v>689248.7</v>
      </c>
      <c r="E208" s="365">
        <f t="shared" si="63"/>
        <v>6914.8</v>
      </c>
      <c r="F208" s="365">
        <f t="shared" si="63"/>
        <v>12223.8</v>
      </c>
      <c r="G208" s="365">
        <f t="shared" si="63"/>
        <v>-5309</v>
      </c>
      <c r="H208" s="366"/>
      <c r="I208" s="366"/>
      <c r="J208" s="366"/>
      <c r="K208" s="366">
        <f>K75+K79+K81+K83+K94+K96+K98+K100+K102+K104+K106+K108+K110+K112+K114+K116+K118+K120+K122+K124+K126+K139+K198+K201+K204+K206</f>
        <v>32857066.547445107</v>
      </c>
      <c r="L208" s="366">
        <f>L75+L79+L81+L83+L94+L96+L98+L100+L102+L104+L106+L108+L110+L112+L114+L116+L118+L120+L122+L124+L126+L139+L198+L201+L204+L206</f>
        <v>60686804.728016749</v>
      </c>
      <c r="M208" s="366">
        <f>M75+M79+M81+M83+M94+M96+M98+M100+M102+M104+M106+M108+M110+M112+M114+M116+M118+M120+M122+M124+M126+M139+M198+M201+M204+M206</f>
        <v>-27829738.18057166</v>
      </c>
    </row>
    <row r="209" spans="1:13" ht="18" customHeight="1" thickTop="1">
      <c r="A209" s="367"/>
      <c r="I209" s="368"/>
      <c r="J209" s="368"/>
    </row>
    <row r="210" spans="1:13" ht="18" customHeight="1">
      <c r="A210" s="367"/>
      <c r="I210" s="368"/>
      <c r="J210" s="368"/>
    </row>
    <row r="211" spans="1:13" ht="10.5" customHeight="1">
      <c r="A211" s="367"/>
      <c r="I211" s="368"/>
      <c r="J211" s="368"/>
    </row>
    <row r="212" spans="1:13" ht="18" hidden="1" customHeight="1">
      <c r="A212" s="367"/>
      <c r="I212" s="368"/>
      <c r="J212" s="368"/>
    </row>
    <row r="213" spans="1:13" ht="18" hidden="1" customHeight="1">
      <c r="A213" s="367"/>
      <c r="I213" s="368"/>
      <c r="J213" s="368"/>
    </row>
    <row r="214" spans="1:13" ht="18" hidden="1" customHeight="1">
      <c r="A214" s="367"/>
      <c r="I214" s="368"/>
      <c r="J214" s="368"/>
    </row>
    <row r="215" spans="1:13" s="206" customFormat="1" ht="18" hidden="1" customHeight="1">
      <c r="A215" s="534"/>
      <c r="B215" s="535"/>
      <c r="C215" s="535"/>
      <c r="D215" s="535"/>
      <c r="E215" s="535"/>
      <c r="F215" s="369"/>
      <c r="G215" s="369"/>
      <c r="H215" s="370"/>
      <c r="I215" s="370"/>
      <c r="J215" s="370"/>
      <c r="K215" s="370"/>
      <c r="M215" s="151"/>
    </row>
    <row r="216" spans="1:13" s="206" customFormat="1" ht="18" hidden="1" customHeight="1">
      <c r="A216" s="534" t="s">
        <v>345</v>
      </c>
      <c r="B216" s="534"/>
      <c r="C216" s="534"/>
      <c r="D216" s="369"/>
      <c r="M216" s="151"/>
    </row>
    <row r="217" spans="1:13" ht="15" hidden="1" customHeight="1">
      <c r="B217" s="371" t="s">
        <v>346</v>
      </c>
      <c r="C217" s="372">
        <f>C75+C139+C198+C201+C204</f>
        <v>668494</v>
      </c>
      <c r="D217" s="372">
        <f>D75+D139+D198+D201+D204</f>
        <v>673544</v>
      </c>
      <c r="E217" s="369"/>
      <c r="H217" s="370"/>
      <c r="I217" s="370"/>
      <c r="J217" s="370"/>
      <c r="K217" s="368">
        <f>K75+K139+K198+K201+K204</f>
        <v>22842442.9888734</v>
      </c>
    </row>
    <row r="218" spans="1:13" ht="15" hidden="1" customHeight="1">
      <c r="B218" s="371" t="s">
        <v>347</v>
      </c>
      <c r="C218" s="372">
        <f>C94+C96+C98+C100+C102+C104+C106+C108+C110+C112+C114+C116+C118+C120+C122+C124+C126</f>
        <v>11364</v>
      </c>
      <c r="D218" s="372">
        <f>D94+D96+D98+D100+D102+D104+D106+D108+D110+D112+D114+D116+D118+D120+D122+D124+D126</f>
        <v>12961</v>
      </c>
      <c r="E218" s="369"/>
      <c r="H218" s="370"/>
      <c r="I218" s="370"/>
      <c r="J218" s="370"/>
      <c r="K218" s="368" t="e">
        <f>K94+#REF!+K96+K98+K100+K102+K104+K106+K108+K110</f>
        <v>#REF!</v>
      </c>
    </row>
    <row r="219" spans="1:13" ht="15" hidden="1" customHeight="1">
      <c r="B219" s="371" t="s">
        <v>348</v>
      </c>
      <c r="C219" s="373">
        <f>C79+C81+C83</f>
        <v>2156</v>
      </c>
      <c r="D219" s="373">
        <f>D79+D81+D83</f>
        <v>2406</v>
      </c>
      <c r="I219" s="368"/>
      <c r="J219" s="368"/>
      <c r="K219" s="368" t="e">
        <f>K79+#REF!+#REF!</f>
        <v>#REF!</v>
      </c>
    </row>
    <row r="220" spans="1:13" ht="15" hidden="1" customHeight="1">
      <c r="B220" s="371" t="s">
        <v>349</v>
      </c>
      <c r="C220" s="374" t="e">
        <f>#REF!</f>
        <v>#REF!</v>
      </c>
      <c r="D220" s="373" t="e">
        <f>#REF!</f>
        <v>#REF!</v>
      </c>
      <c r="I220" s="368"/>
      <c r="J220" s="368"/>
      <c r="K220" s="368" t="e">
        <f>#REF!</f>
        <v>#REF!</v>
      </c>
    </row>
    <row r="221" spans="1:13" ht="15" hidden="1" customHeight="1">
      <c r="B221" s="371" t="s">
        <v>350</v>
      </c>
      <c r="C221" s="374" t="s">
        <v>351</v>
      </c>
      <c r="D221" s="373" t="e">
        <f>#REF!</f>
        <v>#REF!</v>
      </c>
      <c r="I221" s="368"/>
      <c r="J221" s="368"/>
      <c r="K221" s="368" t="e">
        <f>#REF!</f>
        <v>#REF!</v>
      </c>
    </row>
    <row r="222" spans="1:13" ht="15" hidden="1" customHeight="1">
      <c r="B222" s="371" t="s">
        <v>352</v>
      </c>
      <c r="C222" s="375">
        <v>311</v>
      </c>
      <c r="D222" s="375">
        <f>D206</f>
        <v>337.7</v>
      </c>
      <c r="I222" s="368"/>
      <c r="J222" s="368"/>
      <c r="K222" s="368">
        <f>K206</f>
        <v>135456</v>
      </c>
    </row>
    <row r="223" spans="1:13" ht="17.25" hidden="1" customHeight="1">
      <c r="B223" s="371" t="s">
        <v>344</v>
      </c>
      <c r="C223" s="372" t="e">
        <f>SUM(C217:C222)</f>
        <v>#REF!</v>
      </c>
      <c r="D223" s="376" t="e">
        <f>SUM(D217:D222)</f>
        <v>#REF!</v>
      </c>
      <c r="E223" s="376"/>
      <c r="I223" s="368"/>
      <c r="J223" s="368"/>
      <c r="K223" s="368" t="e">
        <f>SUM(K217:K222)</f>
        <v>#REF!</v>
      </c>
    </row>
    <row r="224" spans="1:13" hidden="1">
      <c r="B224" s="151" t="s">
        <v>353</v>
      </c>
      <c r="K224" s="378" t="e">
        <f>#REF!</f>
        <v>#REF!</v>
      </c>
    </row>
    <row r="225" spans="11:11" hidden="1">
      <c r="K225" s="378" t="e">
        <f>SUM(K223:K224)</f>
        <v>#REF!</v>
      </c>
    </row>
    <row r="226" spans="11:11" hidden="1"/>
    <row r="227" spans="11:11" hidden="1"/>
  </sheetData>
  <mergeCells count="15">
    <mergeCell ref="M2:M3"/>
    <mergeCell ref="A215:E215"/>
    <mergeCell ref="A216:C216"/>
    <mergeCell ref="G2:G3"/>
    <mergeCell ref="H2:H3"/>
    <mergeCell ref="I2:I3"/>
    <mergeCell ref="J2:J3"/>
    <mergeCell ref="K2:K3"/>
    <mergeCell ref="L2:L3"/>
    <mergeCell ref="A2:A3"/>
    <mergeCell ref="B2:B3"/>
    <mergeCell ref="C2:C3"/>
    <mergeCell ref="D2:D3"/>
    <mergeCell ref="E2:E3"/>
    <mergeCell ref="F2:F3"/>
  </mergeCells>
  <printOptions horizontalCentered="1"/>
  <pageMargins left="0.25" right="0.25" top="0.89" bottom="0.4" header="0" footer="0"/>
  <pageSetup paperSize="5" scale="59" pageOrder="overThenDown" orientation="portrait" r:id="rId1"/>
  <headerFooter>
    <oddHeader>&amp;L&amp;"Arial,Bold"&amp;18FY2013-14 MFP Formula: October 1 Mid-year Adjustment for Students</oddHeader>
    <oddFooter>&amp;L&amp;Z&amp;F</oddFooter>
  </headerFooter>
  <rowBreaks count="1" manualBreakCount="1">
    <brk id="103" max="12" man="1"/>
  </rowBreaks>
  <colBreaks count="1" manualBreakCount="1">
    <brk id="7" max="20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1"/>
  <sheetViews>
    <sheetView view="pageBreakPreview" zoomScale="70" zoomScaleNormal="70" zoomScaleSheetLayoutView="70" workbookViewId="0">
      <pane xSplit="2" ySplit="5" topLeftCell="C6" activePane="bottomRight" state="frozen"/>
      <selection activeCell="B83" sqref="B83"/>
      <selection pane="topRight" activeCell="B83" sqref="B83"/>
      <selection pane="bottomLeft" activeCell="B83" sqref="B83"/>
      <selection pane="bottomRight" activeCell="B2" sqref="B2:B3"/>
    </sheetView>
  </sheetViews>
  <sheetFormatPr defaultRowHeight="12.75"/>
  <cols>
    <col min="1" max="1" width="8.7109375" style="151" bestFit="1" customWidth="1"/>
    <col min="2" max="2" width="93.28515625" style="151" bestFit="1" customWidth="1"/>
    <col min="3" max="3" width="12.85546875" style="151" bestFit="1" customWidth="1"/>
    <col min="4" max="4" width="12.7109375" style="151" bestFit="1" customWidth="1"/>
    <col min="5" max="5" width="14.140625" style="151" bestFit="1" customWidth="1"/>
    <col min="6" max="6" width="11.42578125" style="151" bestFit="1" customWidth="1"/>
    <col min="7" max="7" width="15" style="151" customWidth="1"/>
    <col min="8" max="8" width="13.85546875" style="368" customWidth="1"/>
    <col min="9" max="9" width="10.28515625" style="377" bestFit="1" customWidth="1"/>
    <col min="10" max="10" width="13.140625" style="151" customWidth="1"/>
    <col min="11" max="11" width="17.7109375" style="368" customWidth="1"/>
    <col min="12" max="12" width="14.85546875" style="151" customWidth="1"/>
    <col min="13" max="13" width="15" style="151" customWidth="1"/>
    <col min="14" max="253" width="9.140625" style="151"/>
    <col min="254" max="254" width="4.42578125" style="151" customWidth="1"/>
    <col min="255" max="255" width="46.85546875" style="151" customWidth="1"/>
    <col min="256" max="256" width="11.28515625" style="151" bestFit="1" customWidth="1"/>
    <col min="257" max="257" width="11.42578125" style="151" bestFit="1" customWidth="1"/>
    <col min="258" max="258" width="11.85546875" style="151" customWidth="1"/>
    <col min="259" max="259" width="10" style="151" customWidth="1"/>
    <col min="260" max="260" width="11.140625" style="151" customWidth="1"/>
    <col min="261" max="261" width="10.28515625" style="151" bestFit="1" customWidth="1"/>
    <col min="262" max="262" width="10.140625" style="151" bestFit="1" customWidth="1"/>
    <col min="263" max="263" width="12" style="151" bestFit="1" customWidth="1"/>
    <col min="264" max="264" width="14.28515625" style="151" bestFit="1" customWidth="1"/>
    <col min="265" max="265" width="13.5703125" style="151" bestFit="1" customWidth="1"/>
    <col min="266" max="266" width="13.85546875" style="151" bestFit="1" customWidth="1"/>
    <col min="267" max="509" width="9.140625" style="151"/>
    <col min="510" max="510" width="4.42578125" style="151" customWidth="1"/>
    <col min="511" max="511" width="46.85546875" style="151" customWidth="1"/>
    <col min="512" max="512" width="11.28515625" style="151" bestFit="1" customWidth="1"/>
    <col min="513" max="513" width="11.42578125" style="151" bestFit="1" customWidth="1"/>
    <col min="514" max="514" width="11.85546875" style="151" customWidth="1"/>
    <col min="515" max="515" width="10" style="151" customWidth="1"/>
    <col min="516" max="516" width="11.140625" style="151" customWidth="1"/>
    <col min="517" max="517" width="10.28515625" style="151" bestFit="1" customWidth="1"/>
    <col min="518" max="518" width="10.140625" style="151" bestFit="1" customWidth="1"/>
    <col min="519" max="519" width="12" style="151" bestFit="1" customWidth="1"/>
    <col min="520" max="520" width="14.28515625" style="151" bestFit="1" customWidth="1"/>
    <col min="521" max="521" width="13.5703125" style="151" bestFit="1" customWidth="1"/>
    <col min="522" max="522" width="13.85546875" style="151" bestFit="1" customWidth="1"/>
    <col min="523" max="765" width="9.140625" style="151"/>
    <col min="766" max="766" width="4.42578125" style="151" customWidth="1"/>
    <col min="767" max="767" width="46.85546875" style="151" customWidth="1"/>
    <col min="768" max="768" width="11.28515625" style="151" bestFit="1" customWidth="1"/>
    <col min="769" max="769" width="11.42578125" style="151" bestFit="1" customWidth="1"/>
    <col min="770" max="770" width="11.85546875" style="151" customWidth="1"/>
    <col min="771" max="771" width="10" style="151" customWidth="1"/>
    <col min="772" max="772" width="11.140625" style="151" customWidth="1"/>
    <col min="773" max="773" width="10.28515625" style="151" bestFit="1" customWidth="1"/>
    <col min="774" max="774" width="10.140625" style="151" bestFit="1" customWidth="1"/>
    <col min="775" max="775" width="12" style="151" bestFit="1" customWidth="1"/>
    <col min="776" max="776" width="14.28515625" style="151" bestFit="1" customWidth="1"/>
    <col min="777" max="777" width="13.5703125" style="151" bestFit="1" customWidth="1"/>
    <col min="778" max="778" width="13.85546875" style="151" bestFit="1" customWidth="1"/>
    <col min="779" max="1021" width="9.140625" style="151"/>
    <col min="1022" max="1022" width="4.42578125" style="151" customWidth="1"/>
    <col min="1023" max="1023" width="46.85546875" style="151" customWidth="1"/>
    <col min="1024" max="1024" width="11.28515625" style="151" bestFit="1" customWidth="1"/>
    <col min="1025" max="1025" width="11.42578125" style="151" bestFit="1" customWidth="1"/>
    <col min="1026" max="1026" width="11.85546875" style="151" customWidth="1"/>
    <col min="1027" max="1027" width="10" style="151" customWidth="1"/>
    <col min="1028" max="1028" width="11.140625" style="151" customWidth="1"/>
    <col min="1029" max="1029" width="10.28515625" style="151" bestFit="1" customWidth="1"/>
    <col min="1030" max="1030" width="10.140625" style="151" bestFit="1" customWidth="1"/>
    <col min="1031" max="1031" width="12" style="151" bestFit="1" customWidth="1"/>
    <col min="1032" max="1032" width="14.28515625" style="151" bestFit="1" customWidth="1"/>
    <col min="1033" max="1033" width="13.5703125" style="151" bestFit="1" customWidth="1"/>
    <col min="1034" max="1034" width="13.85546875" style="151" bestFit="1" customWidth="1"/>
    <col min="1035" max="1277" width="9.140625" style="151"/>
    <col min="1278" max="1278" width="4.42578125" style="151" customWidth="1"/>
    <col min="1279" max="1279" width="46.85546875" style="151" customWidth="1"/>
    <col min="1280" max="1280" width="11.28515625" style="151" bestFit="1" customWidth="1"/>
    <col min="1281" max="1281" width="11.42578125" style="151" bestFit="1" customWidth="1"/>
    <col min="1282" max="1282" width="11.85546875" style="151" customWidth="1"/>
    <col min="1283" max="1283" width="10" style="151" customWidth="1"/>
    <col min="1284" max="1284" width="11.140625" style="151" customWidth="1"/>
    <col min="1285" max="1285" width="10.28515625" style="151" bestFit="1" customWidth="1"/>
    <col min="1286" max="1286" width="10.140625" style="151" bestFit="1" customWidth="1"/>
    <col min="1287" max="1287" width="12" style="151" bestFit="1" customWidth="1"/>
    <col min="1288" max="1288" width="14.28515625" style="151" bestFit="1" customWidth="1"/>
    <col min="1289" max="1289" width="13.5703125" style="151" bestFit="1" customWidth="1"/>
    <col min="1290" max="1290" width="13.85546875" style="151" bestFit="1" customWidth="1"/>
    <col min="1291" max="1533" width="9.140625" style="151"/>
    <col min="1534" max="1534" width="4.42578125" style="151" customWidth="1"/>
    <col min="1535" max="1535" width="46.85546875" style="151" customWidth="1"/>
    <col min="1536" max="1536" width="11.28515625" style="151" bestFit="1" customWidth="1"/>
    <col min="1537" max="1537" width="11.42578125" style="151" bestFit="1" customWidth="1"/>
    <col min="1538" max="1538" width="11.85546875" style="151" customWidth="1"/>
    <col min="1539" max="1539" width="10" style="151" customWidth="1"/>
    <col min="1540" max="1540" width="11.140625" style="151" customWidth="1"/>
    <col min="1541" max="1541" width="10.28515625" style="151" bestFit="1" customWidth="1"/>
    <col min="1542" max="1542" width="10.140625" style="151" bestFit="1" customWidth="1"/>
    <col min="1543" max="1543" width="12" style="151" bestFit="1" customWidth="1"/>
    <col min="1544" max="1544" width="14.28515625" style="151" bestFit="1" customWidth="1"/>
    <col min="1545" max="1545" width="13.5703125" style="151" bestFit="1" customWidth="1"/>
    <col min="1546" max="1546" width="13.85546875" style="151" bestFit="1" customWidth="1"/>
    <col min="1547" max="1789" width="9.140625" style="151"/>
    <col min="1790" max="1790" width="4.42578125" style="151" customWidth="1"/>
    <col min="1791" max="1791" width="46.85546875" style="151" customWidth="1"/>
    <col min="1792" max="1792" width="11.28515625" style="151" bestFit="1" customWidth="1"/>
    <col min="1793" max="1793" width="11.42578125" style="151" bestFit="1" customWidth="1"/>
    <col min="1794" max="1794" width="11.85546875" style="151" customWidth="1"/>
    <col min="1795" max="1795" width="10" style="151" customWidth="1"/>
    <col min="1796" max="1796" width="11.140625" style="151" customWidth="1"/>
    <col min="1797" max="1797" width="10.28515625" style="151" bestFit="1" customWidth="1"/>
    <col min="1798" max="1798" width="10.140625" style="151" bestFit="1" customWidth="1"/>
    <col min="1799" max="1799" width="12" style="151" bestFit="1" customWidth="1"/>
    <col min="1800" max="1800" width="14.28515625" style="151" bestFit="1" customWidth="1"/>
    <col min="1801" max="1801" width="13.5703125" style="151" bestFit="1" customWidth="1"/>
    <col min="1802" max="1802" width="13.85546875" style="151" bestFit="1" customWidth="1"/>
    <col min="1803" max="2045" width="9.140625" style="151"/>
    <col min="2046" max="2046" width="4.42578125" style="151" customWidth="1"/>
    <col min="2047" max="2047" width="46.85546875" style="151" customWidth="1"/>
    <col min="2048" max="2048" width="11.28515625" style="151" bestFit="1" customWidth="1"/>
    <col min="2049" max="2049" width="11.42578125" style="151" bestFit="1" customWidth="1"/>
    <col min="2050" max="2050" width="11.85546875" style="151" customWidth="1"/>
    <col min="2051" max="2051" width="10" style="151" customWidth="1"/>
    <col min="2052" max="2052" width="11.140625" style="151" customWidth="1"/>
    <col min="2053" max="2053" width="10.28515625" style="151" bestFit="1" customWidth="1"/>
    <col min="2054" max="2054" width="10.140625" style="151" bestFit="1" customWidth="1"/>
    <col min="2055" max="2055" width="12" style="151" bestFit="1" customWidth="1"/>
    <col min="2056" max="2056" width="14.28515625" style="151" bestFit="1" customWidth="1"/>
    <col min="2057" max="2057" width="13.5703125" style="151" bestFit="1" customWidth="1"/>
    <col min="2058" max="2058" width="13.85546875" style="151" bestFit="1" customWidth="1"/>
    <col min="2059" max="2301" width="9.140625" style="151"/>
    <col min="2302" max="2302" width="4.42578125" style="151" customWidth="1"/>
    <col min="2303" max="2303" width="46.85546875" style="151" customWidth="1"/>
    <col min="2304" max="2304" width="11.28515625" style="151" bestFit="1" customWidth="1"/>
    <col min="2305" max="2305" width="11.42578125" style="151" bestFit="1" customWidth="1"/>
    <col min="2306" max="2306" width="11.85546875" style="151" customWidth="1"/>
    <col min="2307" max="2307" width="10" style="151" customWidth="1"/>
    <col min="2308" max="2308" width="11.140625" style="151" customWidth="1"/>
    <col min="2309" max="2309" width="10.28515625" style="151" bestFit="1" customWidth="1"/>
    <col min="2310" max="2310" width="10.140625" style="151" bestFit="1" customWidth="1"/>
    <col min="2311" max="2311" width="12" style="151" bestFit="1" customWidth="1"/>
    <col min="2312" max="2312" width="14.28515625" style="151" bestFit="1" customWidth="1"/>
    <col min="2313" max="2313" width="13.5703125" style="151" bestFit="1" customWidth="1"/>
    <col min="2314" max="2314" width="13.85546875" style="151" bestFit="1" customWidth="1"/>
    <col min="2315" max="2557" width="9.140625" style="151"/>
    <col min="2558" max="2558" width="4.42578125" style="151" customWidth="1"/>
    <col min="2559" max="2559" width="46.85546875" style="151" customWidth="1"/>
    <col min="2560" max="2560" width="11.28515625" style="151" bestFit="1" customWidth="1"/>
    <col min="2561" max="2561" width="11.42578125" style="151" bestFit="1" customWidth="1"/>
    <col min="2562" max="2562" width="11.85546875" style="151" customWidth="1"/>
    <col min="2563" max="2563" width="10" style="151" customWidth="1"/>
    <col min="2564" max="2564" width="11.140625" style="151" customWidth="1"/>
    <col min="2565" max="2565" width="10.28515625" style="151" bestFit="1" customWidth="1"/>
    <col min="2566" max="2566" width="10.140625" style="151" bestFit="1" customWidth="1"/>
    <col min="2567" max="2567" width="12" style="151" bestFit="1" customWidth="1"/>
    <col min="2568" max="2568" width="14.28515625" style="151" bestFit="1" customWidth="1"/>
    <col min="2569" max="2569" width="13.5703125" style="151" bestFit="1" customWidth="1"/>
    <col min="2570" max="2570" width="13.85546875" style="151" bestFit="1" customWidth="1"/>
    <col min="2571" max="2813" width="9.140625" style="151"/>
    <col min="2814" max="2814" width="4.42578125" style="151" customWidth="1"/>
    <col min="2815" max="2815" width="46.85546875" style="151" customWidth="1"/>
    <col min="2816" max="2816" width="11.28515625" style="151" bestFit="1" customWidth="1"/>
    <col min="2817" max="2817" width="11.42578125" style="151" bestFit="1" customWidth="1"/>
    <col min="2818" max="2818" width="11.85546875" style="151" customWidth="1"/>
    <col min="2819" max="2819" width="10" style="151" customWidth="1"/>
    <col min="2820" max="2820" width="11.140625" style="151" customWidth="1"/>
    <col min="2821" max="2821" width="10.28515625" style="151" bestFit="1" customWidth="1"/>
    <col min="2822" max="2822" width="10.140625" style="151" bestFit="1" customWidth="1"/>
    <col min="2823" max="2823" width="12" style="151" bestFit="1" customWidth="1"/>
    <col min="2824" max="2824" width="14.28515625" style="151" bestFit="1" customWidth="1"/>
    <col min="2825" max="2825" width="13.5703125" style="151" bestFit="1" customWidth="1"/>
    <col min="2826" max="2826" width="13.85546875" style="151" bestFit="1" customWidth="1"/>
    <col min="2827" max="3069" width="9.140625" style="151"/>
    <col min="3070" max="3070" width="4.42578125" style="151" customWidth="1"/>
    <col min="3071" max="3071" width="46.85546875" style="151" customWidth="1"/>
    <col min="3072" max="3072" width="11.28515625" style="151" bestFit="1" customWidth="1"/>
    <col min="3073" max="3073" width="11.42578125" style="151" bestFit="1" customWidth="1"/>
    <col min="3074" max="3074" width="11.85546875" style="151" customWidth="1"/>
    <col min="3075" max="3075" width="10" style="151" customWidth="1"/>
    <col min="3076" max="3076" width="11.140625" style="151" customWidth="1"/>
    <col min="3077" max="3077" width="10.28515625" style="151" bestFit="1" customWidth="1"/>
    <col min="3078" max="3078" width="10.140625" style="151" bestFit="1" customWidth="1"/>
    <col min="3079" max="3079" width="12" style="151" bestFit="1" customWidth="1"/>
    <col min="3080" max="3080" width="14.28515625" style="151" bestFit="1" customWidth="1"/>
    <col min="3081" max="3081" width="13.5703125" style="151" bestFit="1" customWidth="1"/>
    <col min="3082" max="3082" width="13.85546875" style="151" bestFit="1" customWidth="1"/>
    <col min="3083" max="3325" width="9.140625" style="151"/>
    <col min="3326" max="3326" width="4.42578125" style="151" customWidth="1"/>
    <col min="3327" max="3327" width="46.85546875" style="151" customWidth="1"/>
    <col min="3328" max="3328" width="11.28515625" style="151" bestFit="1" customWidth="1"/>
    <col min="3329" max="3329" width="11.42578125" style="151" bestFit="1" customWidth="1"/>
    <col min="3330" max="3330" width="11.85546875" style="151" customWidth="1"/>
    <col min="3331" max="3331" width="10" style="151" customWidth="1"/>
    <col min="3332" max="3332" width="11.140625" style="151" customWidth="1"/>
    <col min="3333" max="3333" width="10.28515625" style="151" bestFit="1" customWidth="1"/>
    <col min="3334" max="3334" width="10.140625" style="151" bestFit="1" customWidth="1"/>
    <col min="3335" max="3335" width="12" style="151" bestFit="1" customWidth="1"/>
    <col min="3336" max="3336" width="14.28515625" style="151" bestFit="1" customWidth="1"/>
    <col min="3337" max="3337" width="13.5703125" style="151" bestFit="1" customWidth="1"/>
    <col min="3338" max="3338" width="13.85546875" style="151" bestFit="1" customWidth="1"/>
    <col min="3339" max="3581" width="9.140625" style="151"/>
    <col min="3582" max="3582" width="4.42578125" style="151" customWidth="1"/>
    <col min="3583" max="3583" width="46.85546875" style="151" customWidth="1"/>
    <col min="3584" max="3584" width="11.28515625" style="151" bestFit="1" customWidth="1"/>
    <col min="3585" max="3585" width="11.42578125" style="151" bestFit="1" customWidth="1"/>
    <col min="3586" max="3586" width="11.85546875" style="151" customWidth="1"/>
    <col min="3587" max="3587" width="10" style="151" customWidth="1"/>
    <col min="3588" max="3588" width="11.140625" style="151" customWidth="1"/>
    <col min="3589" max="3589" width="10.28515625" style="151" bestFit="1" customWidth="1"/>
    <col min="3590" max="3590" width="10.140625" style="151" bestFit="1" customWidth="1"/>
    <col min="3591" max="3591" width="12" style="151" bestFit="1" customWidth="1"/>
    <col min="3592" max="3592" width="14.28515625" style="151" bestFit="1" customWidth="1"/>
    <col min="3593" max="3593" width="13.5703125" style="151" bestFit="1" customWidth="1"/>
    <col min="3594" max="3594" width="13.85546875" style="151" bestFit="1" customWidth="1"/>
    <col min="3595" max="3837" width="9.140625" style="151"/>
    <col min="3838" max="3838" width="4.42578125" style="151" customWidth="1"/>
    <col min="3839" max="3839" width="46.85546875" style="151" customWidth="1"/>
    <col min="3840" max="3840" width="11.28515625" style="151" bestFit="1" customWidth="1"/>
    <col min="3841" max="3841" width="11.42578125" style="151" bestFit="1" customWidth="1"/>
    <col min="3842" max="3842" width="11.85546875" style="151" customWidth="1"/>
    <col min="3843" max="3843" width="10" style="151" customWidth="1"/>
    <col min="3844" max="3844" width="11.140625" style="151" customWidth="1"/>
    <col min="3845" max="3845" width="10.28515625" style="151" bestFit="1" customWidth="1"/>
    <col min="3846" max="3846" width="10.140625" style="151" bestFit="1" customWidth="1"/>
    <col min="3847" max="3847" width="12" style="151" bestFit="1" customWidth="1"/>
    <col min="3848" max="3848" width="14.28515625" style="151" bestFit="1" customWidth="1"/>
    <col min="3849" max="3849" width="13.5703125" style="151" bestFit="1" customWidth="1"/>
    <col min="3850" max="3850" width="13.85546875" style="151" bestFit="1" customWidth="1"/>
    <col min="3851" max="4093" width="9.140625" style="151"/>
    <col min="4094" max="4094" width="4.42578125" style="151" customWidth="1"/>
    <col min="4095" max="4095" width="46.85546875" style="151" customWidth="1"/>
    <col min="4096" max="4096" width="11.28515625" style="151" bestFit="1" customWidth="1"/>
    <col min="4097" max="4097" width="11.42578125" style="151" bestFit="1" customWidth="1"/>
    <col min="4098" max="4098" width="11.85546875" style="151" customWidth="1"/>
    <col min="4099" max="4099" width="10" style="151" customWidth="1"/>
    <col min="4100" max="4100" width="11.140625" style="151" customWidth="1"/>
    <col min="4101" max="4101" width="10.28515625" style="151" bestFit="1" customWidth="1"/>
    <col min="4102" max="4102" width="10.140625" style="151" bestFit="1" customWidth="1"/>
    <col min="4103" max="4103" width="12" style="151" bestFit="1" customWidth="1"/>
    <col min="4104" max="4104" width="14.28515625" style="151" bestFit="1" customWidth="1"/>
    <col min="4105" max="4105" width="13.5703125" style="151" bestFit="1" customWidth="1"/>
    <col min="4106" max="4106" width="13.85546875" style="151" bestFit="1" customWidth="1"/>
    <col min="4107" max="4349" width="9.140625" style="151"/>
    <col min="4350" max="4350" width="4.42578125" style="151" customWidth="1"/>
    <col min="4351" max="4351" width="46.85546875" style="151" customWidth="1"/>
    <col min="4352" max="4352" width="11.28515625" style="151" bestFit="1" customWidth="1"/>
    <col min="4353" max="4353" width="11.42578125" style="151" bestFit="1" customWidth="1"/>
    <col min="4354" max="4354" width="11.85546875" style="151" customWidth="1"/>
    <col min="4355" max="4355" width="10" style="151" customWidth="1"/>
    <col min="4356" max="4356" width="11.140625" style="151" customWidth="1"/>
    <col min="4357" max="4357" width="10.28515625" style="151" bestFit="1" customWidth="1"/>
    <col min="4358" max="4358" width="10.140625" style="151" bestFit="1" customWidth="1"/>
    <col min="4359" max="4359" width="12" style="151" bestFit="1" customWidth="1"/>
    <col min="4360" max="4360" width="14.28515625" style="151" bestFit="1" customWidth="1"/>
    <col min="4361" max="4361" width="13.5703125" style="151" bestFit="1" customWidth="1"/>
    <col min="4362" max="4362" width="13.85546875" style="151" bestFit="1" customWidth="1"/>
    <col min="4363" max="4605" width="9.140625" style="151"/>
    <col min="4606" max="4606" width="4.42578125" style="151" customWidth="1"/>
    <col min="4607" max="4607" width="46.85546875" style="151" customWidth="1"/>
    <col min="4608" max="4608" width="11.28515625" style="151" bestFit="1" customWidth="1"/>
    <col min="4609" max="4609" width="11.42578125" style="151" bestFit="1" customWidth="1"/>
    <col min="4610" max="4610" width="11.85546875" style="151" customWidth="1"/>
    <col min="4611" max="4611" width="10" style="151" customWidth="1"/>
    <col min="4612" max="4612" width="11.140625" style="151" customWidth="1"/>
    <col min="4613" max="4613" width="10.28515625" style="151" bestFit="1" customWidth="1"/>
    <col min="4614" max="4614" width="10.140625" style="151" bestFit="1" customWidth="1"/>
    <col min="4615" max="4615" width="12" style="151" bestFit="1" customWidth="1"/>
    <col min="4616" max="4616" width="14.28515625" style="151" bestFit="1" customWidth="1"/>
    <col min="4617" max="4617" width="13.5703125" style="151" bestFit="1" customWidth="1"/>
    <col min="4618" max="4618" width="13.85546875" style="151" bestFit="1" customWidth="1"/>
    <col min="4619" max="4861" width="9.140625" style="151"/>
    <col min="4862" max="4862" width="4.42578125" style="151" customWidth="1"/>
    <col min="4863" max="4863" width="46.85546875" style="151" customWidth="1"/>
    <col min="4864" max="4864" width="11.28515625" style="151" bestFit="1" customWidth="1"/>
    <col min="4865" max="4865" width="11.42578125" style="151" bestFit="1" customWidth="1"/>
    <col min="4866" max="4866" width="11.85546875" style="151" customWidth="1"/>
    <col min="4867" max="4867" width="10" style="151" customWidth="1"/>
    <col min="4868" max="4868" width="11.140625" style="151" customWidth="1"/>
    <col min="4869" max="4869" width="10.28515625" style="151" bestFit="1" customWidth="1"/>
    <col min="4870" max="4870" width="10.140625" style="151" bestFit="1" customWidth="1"/>
    <col min="4871" max="4871" width="12" style="151" bestFit="1" customWidth="1"/>
    <col min="4872" max="4872" width="14.28515625" style="151" bestFit="1" customWidth="1"/>
    <col min="4873" max="4873" width="13.5703125" style="151" bestFit="1" customWidth="1"/>
    <col min="4874" max="4874" width="13.85546875" style="151" bestFit="1" customWidth="1"/>
    <col min="4875" max="5117" width="9.140625" style="151"/>
    <col min="5118" max="5118" width="4.42578125" style="151" customWidth="1"/>
    <col min="5119" max="5119" width="46.85546875" style="151" customWidth="1"/>
    <col min="5120" max="5120" width="11.28515625" style="151" bestFit="1" customWidth="1"/>
    <col min="5121" max="5121" width="11.42578125" style="151" bestFit="1" customWidth="1"/>
    <col min="5122" max="5122" width="11.85546875" style="151" customWidth="1"/>
    <col min="5123" max="5123" width="10" style="151" customWidth="1"/>
    <col min="5124" max="5124" width="11.140625" style="151" customWidth="1"/>
    <col min="5125" max="5125" width="10.28515625" style="151" bestFit="1" customWidth="1"/>
    <col min="5126" max="5126" width="10.140625" style="151" bestFit="1" customWidth="1"/>
    <col min="5127" max="5127" width="12" style="151" bestFit="1" customWidth="1"/>
    <col min="5128" max="5128" width="14.28515625" style="151" bestFit="1" customWidth="1"/>
    <col min="5129" max="5129" width="13.5703125" style="151" bestFit="1" customWidth="1"/>
    <col min="5130" max="5130" width="13.85546875" style="151" bestFit="1" customWidth="1"/>
    <col min="5131" max="5373" width="9.140625" style="151"/>
    <col min="5374" max="5374" width="4.42578125" style="151" customWidth="1"/>
    <col min="5375" max="5375" width="46.85546875" style="151" customWidth="1"/>
    <col min="5376" max="5376" width="11.28515625" style="151" bestFit="1" customWidth="1"/>
    <col min="5377" max="5377" width="11.42578125" style="151" bestFit="1" customWidth="1"/>
    <col min="5378" max="5378" width="11.85546875" style="151" customWidth="1"/>
    <col min="5379" max="5379" width="10" style="151" customWidth="1"/>
    <col min="5380" max="5380" width="11.140625" style="151" customWidth="1"/>
    <col min="5381" max="5381" width="10.28515625" style="151" bestFit="1" customWidth="1"/>
    <col min="5382" max="5382" width="10.140625" style="151" bestFit="1" customWidth="1"/>
    <col min="5383" max="5383" width="12" style="151" bestFit="1" customWidth="1"/>
    <col min="5384" max="5384" width="14.28515625" style="151" bestFit="1" customWidth="1"/>
    <col min="5385" max="5385" width="13.5703125" style="151" bestFit="1" customWidth="1"/>
    <col min="5386" max="5386" width="13.85546875" style="151" bestFit="1" customWidth="1"/>
    <col min="5387" max="5629" width="9.140625" style="151"/>
    <col min="5630" max="5630" width="4.42578125" style="151" customWidth="1"/>
    <col min="5631" max="5631" width="46.85546875" style="151" customWidth="1"/>
    <col min="5632" max="5632" width="11.28515625" style="151" bestFit="1" customWidth="1"/>
    <col min="5633" max="5633" width="11.42578125" style="151" bestFit="1" customWidth="1"/>
    <col min="5634" max="5634" width="11.85546875" style="151" customWidth="1"/>
    <col min="5635" max="5635" width="10" style="151" customWidth="1"/>
    <col min="5636" max="5636" width="11.140625" style="151" customWidth="1"/>
    <col min="5637" max="5637" width="10.28515625" style="151" bestFit="1" customWidth="1"/>
    <col min="5638" max="5638" width="10.140625" style="151" bestFit="1" customWidth="1"/>
    <col min="5639" max="5639" width="12" style="151" bestFit="1" customWidth="1"/>
    <col min="5640" max="5640" width="14.28515625" style="151" bestFit="1" customWidth="1"/>
    <col min="5641" max="5641" width="13.5703125" style="151" bestFit="1" customWidth="1"/>
    <col min="5642" max="5642" width="13.85546875" style="151" bestFit="1" customWidth="1"/>
    <col min="5643" max="5885" width="9.140625" style="151"/>
    <col min="5886" max="5886" width="4.42578125" style="151" customWidth="1"/>
    <col min="5887" max="5887" width="46.85546875" style="151" customWidth="1"/>
    <col min="5888" max="5888" width="11.28515625" style="151" bestFit="1" customWidth="1"/>
    <col min="5889" max="5889" width="11.42578125" style="151" bestFit="1" customWidth="1"/>
    <col min="5890" max="5890" width="11.85546875" style="151" customWidth="1"/>
    <col min="5891" max="5891" width="10" style="151" customWidth="1"/>
    <col min="5892" max="5892" width="11.140625" style="151" customWidth="1"/>
    <col min="5893" max="5893" width="10.28515625" style="151" bestFit="1" customWidth="1"/>
    <col min="5894" max="5894" width="10.140625" style="151" bestFit="1" customWidth="1"/>
    <col min="5895" max="5895" width="12" style="151" bestFit="1" customWidth="1"/>
    <col min="5896" max="5896" width="14.28515625" style="151" bestFit="1" customWidth="1"/>
    <col min="5897" max="5897" width="13.5703125" style="151" bestFit="1" customWidth="1"/>
    <col min="5898" max="5898" width="13.85546875" style="151" bestFit="1" customWidth="1"/>
    <col min="5899" max="6141" width="9.140625" style="151"/>
    <col min="6142" max="6142" width="4.42578125" style="151" customWidth="1"/>
    <col min="6143" max="6143" width="46.85546875" style="151" customWidth="1"/>
    <col min="6144" max="6144" width="11.28515625" style="151" bestFit="1" customWidth="1"/>
    <col min="6145" max="6145" width="11.42578125" style="151" bestFit="1" customWidth="1"/>
    <col min="6146" max="6146" width="11.85546875" style="151" customWidth="1"/>
    <col min="6147" max="6147" width="10" style="151" customWidth="1"/>
    <col min="6148" max="6148" width="11.140625" style="151" customWidth="1"/>
    <col min="6149" max="6149" width="10.28515625" style="151" bestFit="1" customWidth="1"/>
    <col min="6150" max="6150" width="10.140625" style="151" bestFit="1" customWidth="1"/>
    <col min="6151" max="6151" width="12" style="151" bestFit="1" customWidth="1"/>
    <col min="6152" max="6152" width="14.28515625" style="151" bestFit="1" customWidth="1"/>
    <col min="6153" max="6153" width="13.5703125" style="151" bestFit="1" customWidth="1"/>
    <col min="6154" max="6154" width="13.85546875" style="151" bestFit="1" customWidth="1"/>
    <col min="6155" max="6397" width="9.140625" style="151"/>
    <col min="6398" max="6398" width="4.42578125" style="151" customWidth="1"/>
    <col min="6399" max="6399" width="46.85546875" style="151" customWidth="1"/>
    <col min="6400" max="6400" width="11.28515625" style="151" bestFit="1" customWidth="1"/>
    <col min="6401" max="6401" width="11.42578125" style="151" bestFit="1" customWidth="1"/>
    <col min="6402" max="6402" width="11.85546875" style="151" customWidth="1"/>
    <col min="6403" max="6403" width="10" style="151" customWidth="1"/>
    <col min="6404" max="6404" width="11.140625" style="151" customWidth="1"/>
    <col min="6405" max="6405" width="10.28515625" style="151" bestFit="1" customWidth="1"/>
    <col min="6406" max="6406" width="10.140625" style="151" bestFit="1" customWidth="1"/>
    <col min="6407" max="6407" width="12" style="151" bestFit="1" customWidth="1"/>
    <col min="6408" max="6408" width="14.28515625" style="151" bestFit="1" customWidth="1"/>
    <col min="6409" max="6409" width="13.5703125" style="151" bestFit="1" customWidth="1"/>
    <col min="6410" max="6410" width="13.85546875" style="151" bestFit="1" customWidth="1"/>
    <col min="6411" max="6653" width="9.140625" style="151"/>
    <col min="6654" max="6654" width="4.42578125" style="151" customWidth="1"/>
    <col min="6655" max="6655" width="46.85546875" style="151" customWidth="1"/>
    <col min="6656" max="6656" width="11.28515625" style="151" bestFit="1" customWidth="1"/>
    <col min="6657" max="6657" width="11.42578125" style="151" bestFit="1" customWidth="1"/>
    <col min="6658" max="6658" width="11.85546875" style="151" customWidth="1"/>
    <col min="6659" max="6659" width="10" style="151" customWidth="1"/>
    <col min="6660" max="6660" width="11.140625" style="151" customWidth="1"/>
    <col min="6661" max="6661" width="10.28515625" style="151" bestFit="1" customWidth="1"/>
    <col min="6662" max="6662" width="10.140625" style="151" bestFit="1" customWidth="1"/>
    <col min="6663" max="6663" width="12" style="151" bestFit="1" customWidth="1"/>
    <col min="6664" max="6664" width="14.28515625" style="151" bestFit="1" customWidth="1"/>
    <col min="6665" max="6665" width="13.5703125" style="151" bestFit="1" customWidth="1"/>
    <col min="6666" max="6666" width="13.85546875" style="151" bestFit="1" customWidth="1"/>
    <col min="6667" max="6909" width="9.140625" style="151"/>
    <col min="6910" max="6910" width="4.42578125" style="151" customWidth="1"/>
    <col min="6911" max="6911" width="46.85546875" style="151" customWidth="1"/>
    <col min="6912" max="6912" width="11.28515625" style="151" bestFit="1" customWidth="1"/>
    <col min="6913" max="6913" width="11.42578125" style="151" bestFit="1" customWidth="1"/>
    <col min="6914" max="6914" width="11.85546875" style="151" customWidth="1"/>
    <col min="6915" max="6915" width="10" style="151" customWidth="1"/>
    <col min="6916" max="6916" width="11.140625" style="151" customWidth="1"/>
    <col min="6917" max="6917" width="10.28515625" style="151" bestFit="1" customWidth="1"/>
    <col min="6918" max="6918" width="10.140625" style="151" bestFit="1" customWidth="1"/>
    <col min="6919" max="6919" width="12" style="151" bestFit="1" customWidth="1"/>
    <col min="6920" max="6920" width="14.28515625" style="151" bestFit="1" customWidth="1"/>
    <col min="6921" max="6921" width="13.5703125" style="151" bestFit="1" customWidth="1"/>
    <col min="6922" max="6922" width="13.85546875" style="151" bestFit="1" customWidth="1"/>
    <col min="6923" max="7165" width="9.140625" style="151"/>
    <col min="7166" max="7166" width="4.42578125" style="151" customWidth="1"/>
    <col min="7167" max="7167" width="46.85546875" style="151" customWidth="1"/>
    <col min="7168" max="7168" width="11.28515625" style="151" bestFit="1" customWidth="1"/>
    <col min="7169" max="7169" width="11.42578125" style="151" bestFit="1" customWidth="1"/>
    <col min="7170" max="7170" width="11.85546875" style="151" customWidth="1"/>
    <col min="7171" max="7171" width="10" style="151" customWidth="1"/>
    <col min="7172" max="7172" width="11.140625" style="151" customWidth="1"/>
    <col min="7173" max="7173" width="10.28515625" style="151" bestFit="1" customWidth="1"/>
    <col min="7174" max="7174" width="10.140625" style="151" bestFit="1" customWidth="1"/>
    <col min="7175" max="7175" width="12" style="151" bestFit="1" customWidth="1"/>
    <col min="7176" max="7176" width="14.28515625" style="151" bestFit="1" customWidth="1"/>
    <col min="7177" max="7177" width="13.5703125" style="151" bestFit="1" customWidth="1"/>
    <col min="7178" max="7178" width="13.85546875" style="151" bestFit="1" customWidth="1"/>
    <col min="7179" max="7421" width="9.140625" style="151"/>
    <col min="7422" max="7422" width="4.42578125" style="151" customWidth="1"/>
    <col min="7423" max="7423" width="46.85546875" style="151" customWidth="1"/>
    <col min="7424" max="7424" width="11.28515625" style="151" bestFit="1" customWidth="1"/>
    <col min="7425" max="7425" width="11.42578125" style="151" bestFit="1" customWidth="1"/>
    <col min="7426" max="7426" width="11.85546875" style="151" customWidth="1"/>
    <col min="7427" max="7427" width="10" style="151" customWidth="1"/>
    <col min="7428" max="7428" width="11.140625" style="151" customWidth="1"/>
    <col min="7429" max="7429" width="10.28515625" style="151" bestFit="1" customWidth="1"/>
    <col min="7430" max="7430" width="10.140625" style="151" bestFit="1" customWidth="1"/>
    <col min="7431" max="7431" width="12" style="151" bestFit="1" customWidth="1"/>
    <col min="7432" max="7432" width="14.28515625" style="151" bestFit="1" customWidth="1"/>
    <col min="7433" max="7433" width="13.5703125" style="151" bestFit="1" customWidth="1"/>
    <col min="7434" max="7434" width="13.85546875" style="151" bestFit="1" customWidth="1"/>
    <col min="7435" max="7677" width="9.140625" style="151"/>
    <col min="7678" max="7678" width="4.42578125" style="151" customWidth="1"/>
    <col min="7679" max="7679" width="46.85546875" style="151" customWidth="1"/>
    <col min="7680" max="7680" width="11.28515625" style="151" bestFit="1" customWidth="1"/>
    <col min="7681" max="7681" width="11.42578125" style="151" bestFit="1" customWidth="1"/>
    <col min="7682" max="7682" width="11.85546875" style="151" customWidth="1"/>
    <col min="7683" max="7683" width="10" style="151" customWidth="1"/>
    <col min="7684" max="7684" width="11.140625" style="151" customWidth="1"/>
    <col min="7685" max="7685" width="10.28515625" style="151" bestFit="1" customWidth="1"/>
    <col min="7686" max="7686" width="10.140625" style="151" bestFit="1" customWidth="1"/>
    <col min="7687" max="7687" width="12" style="151" bestFit="1" customWidth="1"/>
    <col min="7688" max="7688" width="14.28515625" style="151" bestFit="1" customWidth="1"/>
    <col min="7689" max="7689" width="13.5703125" style="151" bestFit="1" customWidth="1"/>
    <col min="7690" max="7690" width="13.85546875" style="151" bestFit="1" customWidth="1"/>
    <col min="7691" max="7933" width="9.140625" style="151"/>
    <col min="7934" max="7934" width="4.42578125" style="151" customWidth="1"/>
    <col min="7935" max="7935" width="46.85546875" style="151" customWidth="1"/>
    <col min="7936" max="7936" width="11.28515625" style="151" bestFit="1" customWidth="1"/>
    <col min="7937" max="7937" width="11.42578125" style="151" bestFit="1" customWidth="1"/>
    <col min="7938" max="7938" width="11.85546875" style="151" customWidth="1"/>
    <col min="7939" max="7939" width="10" style="151" customWidth="1"/>
    <col min="7940" max="7940" width="11.140625" style="151" customWidth="1"/>
    <col min="7941" max="7941" width="10.28515625" style="151" bestFit="1" customWidth="1"/>
    <col min="7942" max="7942" width="10.140625" style="151" bestFit="1" customWidth="1"/>
    <col min="7943" max="7943" width="12" style="151" bestFit="1" customWidth="1"/>
    <col min="7944" max="7944" width="14.28515625" style="151" bestFit="1" customWidth="1"/>
    <col min="7945" max="7945" width="13.5703125" style="151" bestFit="1" customWidth="1"/>
    <col min="7946" max="7946" width="13.85546875" style="151" bestFit="1" customWidth="1"/>
    <col min="7947" max="8189" width="9.140625" style="151"/>
    <col min="8190" max="8190" width="4.42578125" style="151" customWidth="1"/>
    <col min="8191" max="8191" width="46.85546875" style="151" customWidth="1"/>
    <col min="8192" max="8192" width="11.28515625" style="151" bestFit="1" customWidth="1"/>
    <col min="8193" max="8193" width="11.42578125" style="151" bestFit="1" customWidth="1"/>
    <col min="8194" max="8194" width="11.85546875" style="151" customWidth="1"/>
    <col min="8195" max="8195" width="10" style="151" customWidth="1"/>
    <col min="8196" max="8196" width="11.140625" style="151" customWidth="1"/>
    <col min="8197" max="8197" width="10.28515625" style="151" bestFit="1" customWidth="1"/>
    <col min="8198" max="8198" width="10.140625" style="151" bestFit="1" customWidth="1"/>
    <col min="8199" max="8199" width="12" style="151" bestFit="1" customWidth="1"/>
    <col min="8200" max="8200" width="14.28515625" style="151" bestFit="1" customWidth="1"/>
    <col min="8201" max="8201" width="13.5703125" style="151" bestFit="1" customWidth="1"/>
    <col min="8202" max="8202" width="13.85546875" style="151" bestFit="1" customWidth="1"/>
    <col min="8203" max="8445" width="9.140625" style="151"/>
    <col min="8446" max="8446" width="4.42578125" style="151" customWidth="1"/>
    <col min="8447" max="8447" width="46.85546875" style="151" customWidth="1"/>
    <col min="8448" max="8448" width="11.28515625" style="151" bestFit="1" customWidth="1"/>
    <col min="8449" max="8449" width="11.42578125" style="151" bestFit="1" customWidth="1"/>
    <col min="8450" max="8450" width="11.85546875" style="151" customWidth="1"/>
    <col min="8451" max="8451" width="10" style="151" customWidth="1"/>
    <col min="8452" max="8452" width="11.140625" style="151" customWidth="1"/>
    <col min="8453" max="8453" width="10.28515625" style="151" bestFit="1" customWidth="1"/>
    <col min="8454" max="8454" width="10.140625" style="151" bestFit="1" customWidth="1"/>
    <col min="8455" max="8455" width="12" style="151" bestFit="1" customWidth="1"/>
    <col min="8456" max="8456" width="14.28515625" style="151" bestFit="1" customWidth="1"/>
    <col min="8457" max="8457" width="13.5703125" style="151" bestFit="1" customWidth="1"/>
    <col min="8458" max="8458" width="13.85546875" style="151" bestFit="1" customWidth="1"/>
    <col min="8459" max="8701" width="9.140625" style="151"/>
    <col min="8702" max="8702" width="4.42578125" style="151" customWidth="1"/>
    <col min="8703" max="8703" width="46.85546875" style="151" customWidth="1"/>
    <col min="8704" max="8704" width="11.28515625" style="151" bestFit="1" customWidth="1"/>
    <col min="8705" max="8705" width="11.42578125" style="151" bestFit="1" customWidth="1"/>
    <col min="8706" max="8706" width="11.85546875" style="151" customWidth="1"/>
    <col min="8707" max="8707" width="10" style="151" customWidth="1"/>
    <col min="8708" max="8708" width="11.140625" style="151" customWidth="1"/>
    <col min="8709" max="8709" width="10.28515625" style="151" bestFit="1" customWidth="1"/>
    <col min="8710" max="8710" width="10.140625" style="151" bestFit="1" customWidth="1"/>
    <col min="8711" max="8711" width="12" style="151" bestFit="1" customWidth="1"/>
    <col min="8712" max="8712" width="14.28515625" style="151" bestFit="1" customWidth="1"/>
    <col min="8713" max="8713" width="13.5703125" style="151" bestFit="1" customWidth="1"/>
    <col min="8714" max="8714" width="13.85546875" style="151" bestFit="1" customWidth="1"/>
    <col min="8715" max="8957" width="9.140625" style="151"/>
    <col min="8958" max="8958" width="4.42578125" style="151" customWidth="1"/>
    <col min="8959" max="8959" width="46.85546875" style="151" customWidth="1"/>
    <col min="8960" max="8960" width="11.28515625" style="151" bestFit="1" customWidth="1"/>
    <col min="8961" max="8961" width="11.42578125" style="151" bestFit="1" customWidth="1"/>
    <col min="8962" max="8962" width="11.85546875" style="151" customWidth="1"/>
    <col min="8963" max="8963" width="10" style="151" customWidth="1"/>
    <col min="8964" max="8964" width="11.140625" style="151" customWidth="1"/>
    <col min="8965" max="8965" width="10.28515625" style="151" bestFit="1" customWidth="1"/>
    <col min="8966" max="8966" width="10.140625" style="151" bestFit="1" customWidth="1"/>
    <col min="8967" max="8967" width="12" style="151" bestFit="1" customWidth="1"/>
    <col min="8968" max="8968" width="14.28515625" style="151" bestFit="1" customWidth="1"/>
    <col min="8969" max="8969" width="13.5703125" style="151" bestFit="1" customWidth="1"/>
    <col min="8970" max="8970" width="13.85546875" style="151" bestFit="1" customWidth="1"/>
    <col min="8971" max="9213" width="9.140625" style="151"/>
    <col min="9214" max="9214" width="4.42578125" style="151" customWidth="1"/>
    <col min="9215" max="9215" width="46.85546875" style="151" customWidth="1"/>
    <col min="9216" max="9216" width="11.28515625" style="151" bestFit="1" customWidth="1"/>
    <col min="9217" max="9217" width="11.42578125" style="151" bestFit="1" customWidth="1"/>
    <col min="9218" max="9218" width="11.85546875" style="151" customWidth="1"/>
    <col min="9219" max="9219" width="10" style="151" customWidth="1"/>
    <col min="9220" max="9220" width="11.140625" style="151" customWidth="1"/>
    <col min="9221" max="9221" width="10.28515625" style="151" bestFit="1" customWidth="1"/>
    <col min="9222" max="9222" width="10.140625" style="151" bestFit="1" customWidth="1"/>
    <col min="9223" max="9223" width="12" style="151" bestFit="1" customWidth="1"/>
    <col min="9224" max="9224" width="14.28515625" style="151" bestFit="1" customWidth="1"/>
    <col min="9225" max="9225" width="13.5703125" style="151" bestFit="1" customWidth="1"/>
    <col min="9226" max="9226" width="13.85546875" style="151" bestFit="1" customWidth="1"/>
    <col min="9227" max="9469" width="9.140625" style="151"/>
    <col min="9470" max="9470" width="4.42578125" style="151" customWidth="1"/>
    <col min="9471" max="9471" width="46.85546875" style="151" customWidth="1"/>
    <col min="9472" max="9472" width="11.28515625" style="151" bestFit="1" customWidth="1"/>
    <col min="9473" max="9473" width="11.42578125" style="151" bestFit="1" customWidth="1"/>
    <col min="9474" max="9474" width="11.85546875" style="151" customWidth="1"/>
    <col min="9475" max="9475" width="10" style="151" customWidth="1"/>
    <col min="9476" max="9476" width="11.140625" style="151" customWidth="1"/>
    <col min="9477" max="9477" width="10.28515625" style="151" bestFit="1" customWidth="1"/>
    <col min="9478" max="9478" width="10.140625" style="151" bestFit="1" customWidth="1"/>
    <col min="9479" max="9479" width="12" style="151" bestFit="1" customWidth="1"/>
    <col min="9480" max="9480" width="14.28515625" style="151" bestFit="1" customWidth="1"/>
    <col min="9481" max="9481" width="13.5703125" style="151" bestFit="1" customWidth="1"/>
    <col min="9482" max="9482" width="13.85546875" style="151" bestFit="1" customWidth="1"/>
    <col min="9483" max="9725" width="9.140625" style="151"/>
    <col min="9726" max="9726" width="4.42578125" style="151" customWidth="1"/>
    <col min="9727" max="9727" width="46.85546875" style="151" customWidth="1"/>
    <col min="9728" max="9728" width="11.28515625" style="151" bestFit="1" customWidth="1"/>
    <col min="9729" max="9729" width="11.42578125" style="151" bestFit="1" customWidth="1"/>
    <col min="9730" max="9730" width="11.85546875" style="151" customWidth="1"/>
    <col min="9731" max="9731" width="10" style="151" customWidth="1"/>
    <col min="9732" max="9732" width="11.140625" style="151" customWidth="1"/>
    <col min="9733" max="9733" width="10.28515625" style="151" bestFit="1" customWidth="1"/>
    <col min="9734" max="9734" width="10.140625" style="151" bestFit="1" customWidth="1"/>
    <col min="9735" max="9735" width="12" style="151" bestFit="1" customWidth="1"/>
    <col min="9736" max="9736" width="14.28515625" style="151" bestFit="1" customWidth="1"/>
    <col min="9737" max="9737" width="13.5703125" style="151" bestFit="1" customWidth="1"/>
    <col min="9738" max="9738" width="13.85546875" style="151" bestFit="1" customWidth="1"/>
    <col min="9739" max="9981" width="9.140625" style="151"/>
    <col min="9982" max="9982" width="4.42578125" style="151" customWidth="1"/>
    <col min="9983" max="9983" width="46.85546875" style="151" customWidth="1"/>
    <col min="9984" max="9984" width="11.28515625" style="151" bestFit="1" customWidth="1"/>
    <col min="9985" max="9985" width="11.42578125" style="151" bestFit="1" customWidth="1"/>
    <col min="9986" max="9986" width="11.85546875" style="151" customWidth="1"/>
    <col min="9987" max="9987" width="10" style="151" customWidth="1"/>
    <col min="9988" max="9988" width="11.140625" style="151" customWidth="1"/>
    <col min="9989" max="9989" width="10.28515625" style="151" bestFit="1" customWidth="1"/>
    <col min="9990" max="9990" width="10.140625" style="151" bestFit="1" customWidth="1"/>
    <col min="9991" max="9991" width="12" style="151" bestFit="1" customWidth="1"/>
    <col min="9992" max="9992" width="14.28515625" style="151" bestFit="1" customWidth="1"/>
    <col min="9993" max="9993" width="13.5703125" style="151" bestFit="1" customWidth="1"/>
    <col min="9994" max="9994" width="13.85546875" style="151" bestFit="1" customWidth="1"/>
    <col min="9995" max="10237" width="9.140625" style="151"/>
    <col min="10238" max="10238" width="4.42578125" style="151" customWidth="1"/>
    <col min="10239" max="10239" width="46.85546875" style="151" customWidth="1"/>
    <col min="10240" max="10240" width="11.28515625" style="151" bestFit="1" customWidth="1"/>
    <col min="10241" max="10241" width="11.42578125" style="151" bestFit="1" customWidth="1"/>
    <col min="10242" max="10242" width="11.85546875" style="151" customWidth="1"/>
    <col min="10243" max="10243" width="10" style="151" customWidth="1"/>
    <col min="10244" max="10244" width="11.140625" style="151" customWidth="1"/>
    <col min="10245" max="10245" width="10.28515625" style="151" bestFit="1" customWidth="1"/>
    <col min="10246" max="10246" width="10.140625" style="151" bestFit="1" customWidth="1"/>
    <col min="10247" max="10247" width="12" style="151" bestFit="1" customWidth="1"/>
    <col min="10248" max="10248" width="14.28515625" style="151" bestFit="1" customWidth="1"/>
    <col min="10249" max="10249" width="13.5703125" style="151" bestFit="1" customWidth="1"/>
    <col min="10250" max="10250" width="13.85546875" style="151" bestFit="1" customWidth="1"/>
    <col min="10251" max="10493" width="9.140625" style="151"/>
    <col min="10494" max="10494" width="4.42578125" style="151" customWidth="1"/>
    <col min="10495" max="10495" width="46.85546875" style="151" customWidth="1"/>
    <col min="10496" max="10496" width="11.28515625" style="151" bestFit="1" customWidth="1"/>
    <col min="10497" max="10497" width="11.42578125" style="151" bestFit="1" customWidth="1"/>
    <col min="10498" max="10498" width="11.85546875" style="151" customWidth="1"/>
    <col min="10499" max="10499" width="10" style="151" customWidth="1"/>
    <col min="10500" max="10500" width="11.140625" style="151" customWidth="1"/>
    <col min="10501" max="10501" width="10.28515625" style="151" bestFit="1" customWidth="1"/>
    <col min="10502" max="10502" width="10.140625" style="151" bestFit="1" customWidth="1"/>
    <col min="10503" max="10503" width="12" style="151" bestFit="1" customWidth="1"/>
    <col min="10504" max="10504" width="14.28515625" style="151" bestFit="1" customWidth="1"/>
    <col min="10505" max="10505" width="13.5703125" style="151" bestFit="1" customWidth="1"/>
    <col min="10506" max="10506" width="13.85546875" style="151" bestFit="1" customWidth="1"/>
    <col min="10507" max="10749" width="9.140625" style="151"/>
    <col min="10750" max="10750" width="4.42578125" style="151" customWidth="1"/>
    <col min="10751" max="10751" width="46.85546875" style="151" customWidth="1"/>
    <col min="10752" max="10752" width="11.28515625" style="151" bestFit="1" customWidth="1"/>
    <col min="10753" max="10753" width="11.42578125" style="151" bestFit="1" customWidth="1"/>
    <col min="10754" max="10754" width="11.85546875" style="151" customWidth="1"/>
    <col min="10755" max="10755" width="10" style="151" customWidth="1"/>
    <col min="10756" max="10756" width="11.140625" style="151" customWidth="1"/>
    <col min="10757" max="10757" width="10.28515625" style="151" bestFit="1" customWidth="1"/>
    <col min="10758" max="10758" width="10.140625" style="151" bestFit="1" customWidth="1"/>
    <col min="10759" max="10759" width="12" style="151" bestFit="1" customWidth="1"/>
    <col min="10760" max="10760" width="14.28515625" style="151" bestFit="1" customWidth="1"/>
    <col min="10761" max="10761" width="13.5703125" style="151" bestFit="1" customWidth="1"/>
    <col min="10762" max="10762" width="13.85546875" style="151" bestFit="1" customWidth="1"/>
    <col min="10763" max="11005" width="9.140625" style="151"/>
    <col min="11006" max="11006" width="4.42578125" style="151" customWidth="1"/>
    <col min="11007" max="11007" width="46.85546875" style="151" customWidth="1"/>
    <col min="11008" max="11008" width="11.28515625" style="151" bestFit="1" customWidth="1"/>
    <col min="11009" max="11009" width="11.42578125" style="151" bestFit="1" customWidth="1"/>
    <col min="11010" max="11010" width="11.85546875" style="151" customWidth="1"/>
    <col min="11011" max="11011" width="10" style="151" customWidth="1"/>
    <col min="11012" max="11012" width="11.140625" style="151" customWidth="1"/>
    <col min="11013" max="11013" width="10.28515625" style="151" bestFit="1" customWidth="1"/>
    <col min="11014" max="11014" width="10.140625" style="151" bestFit="1" customWidth="1"/>
    <col min="11015" max="11015" width="12" style="151" bestFit="1" customWidth="1"/>
    <col min="11016" max="11016" width="14.28515625" style="151" bestFit="1" customWidth="1"/>
    <col min="11017" max="11017" width="13.5703125" style="151" bestFit="1" customWidth="1"/>
    <col min="11018" max="11018" width="13.85546875" style="151" bestFit="1" customWidth="1"/>
    <col min="11019" max="11261" width="9.140625" style="151"/>
    <col min="11262" max="11262" width="4.42578125" style="151" customWidth="1"/>
    <col min="11263" max="11263" width="46.85546875" style="151" customWidth="1"/>
    <col min="11264" max="11264" width="11.28515625" style="151" bestFit="1" customWidth="1"/>
    <col min="11265" max="11265" width="11.42578125" style="151" bestFit="1" customWidth="1"/>
    <col min="11266" max="11266" width="11.85546875" style="151" customWidth="1"/>
    <col min="11267" max="11267" width="10" style="151" customWidth="1"/>
    <col min="11268" max="11268" width="11.140625" style="151" customWidth="1"/>
    <col min="11269" max="11269" width="10.28515625" style="151" bestFit="1" customWidth="1"/>
    <col min="11270" max="11270" width="10.140625" style="151" bestFit="1" customWidth="1"/>
    <col min="11271" max="11271" width="12" style="151" bestFit="1" customWidth="1"/>
    <col min="11272" max="11272" width="14.28515625" style="151" bestFit="1" customWidth="1"/>
    <col min="11273" max="11273" width="13.5703125" style="151" bestFit="1" customWidth="1"/>
    <col min="11274" max="11274" width="13.85546875" style="151" bestFit="1" customWidth="1"/>
    <col min="11275" max="11517" width="9.140625" style="151"/>
    <col min="11518" max="11518" width="4.42578125" style="151" customWidth="1"/>
    <col min="11519" max="11519" width="46.85546875" style="151" customWidth="1"/>
    <col min="11520" max="11520" width="11.28515625" style="151" bestFit="1" customWidth="1"/>
    <col min="11521" max="11521" width="11.42578125" style="151" bestFit="1" customWidth="1"/>
    <col min="11522" max="11522" width="11.85546875" style="151" customWidth="1"/>
    <col min="11523" max="11523" width="10" style="151" customWidth="1"/>
    <col min="11524" max="11524" width="11.140625" style="151" customWidth="1"/>
    <col min="11525" max="11525" width="10.28515625" style="151" bestFit="1" customWidth="1"/>
    <col min="11526" max="11526" width="10.140625" style="151" bestFit="1" customWidth="1"/>
    <col min="11527" max="11527" width="12" style="151" bestFit="1" customWidth="1"/>
    <col min="11528" max="11528" width="14.28515625" style="151" bestFit="1" customWidth="1"/>
    <col min="11529" max="11529" width="13.5703125" style="151" bestFit="1" customWidth="1"/>
    <col min="11530" max="11530" width="13.85546875" style="151" bestFit="1" customWidth="1"/>
    <col min="11531" max="11773" width="9.140625" style="151"/>
    <col min="11774" max="11774" width="4.42578125" style="151" customWidth="1"/>
    <col min="11775" max="11775" width="46.85546875" style="151" customWidth="1"/>
    <col min="11776" max="11776" width="11.28515625" style="151" bestFit="1" customWidth="1"/>
    <col min="11777" max="11777" width="11.42578125" style="151" bestFit="1" customWidth="1"/>
    <col min="11778" max="11778" width="11.85546875" style="151" customWidth="1"/>
    <col min="11779" max="11779" width="10" style="151" customWidth="1"/>
    <col min="11780" max="11780" width="11.140625" style="151" customWidth="1"/>
    <col min="11781" max="11781" width="10.28515625" style="151" bestFit="1" customWidth="1"/>
    <col min="11782" max="11782" width="10.140625" style="151" bestFit="1" customWidth="1"/>
    <col min="11783" max="11783" width="12" style="151" bestFit="1" customWidth="1"/>
    <col min="11784" max="11784" width="14.28515625" style="151" bestFit="1" customWidth="1"/>
    <col min="11785" max="11785" width="13.5703125" style="151" bestFit="1" customWidth="1"/>
    <col min="11786" max="11786" width="13.85546875" style="151" bestFit="1" customWidth="1"/>
    <col min="11787" max="12029" width="9.140625" style="151"/>
    <col min="12030" max="12030" width="4.42578125" style="151" customWidth="1"/>
    <col min="12031" max="12031" width="46.85546875" style="151" customWidth="1"/>
    <col min="12032" max="12032" width="11.28515625" style="151" bestFit="1" customWidth="1"/>
    <col min="12033" max="12033" width="11.42578125" style="151" bestFit="1" customWidth="1"/>
    <col min="12034" max="12034" width="11.85546875" style="151" customWidth="1"/>
    <col min="12035" max="12035" width="10" style="151" customWidth="1"/>
    <col min="12036" max="12036" width="11.140625" style="151" customWidth="1"/>
    <col min="12037" max="12037" width="10.28515625" style="151" bestFit="1" customWidth="1"/>
    <col min="12038" max="12038" width="10.140625" style="151" bestFit="1" customWidth="1"/>
    <col min="12039" max="12039" width="12" style="151" bestFit="1" customWidth="1"/>
    <col min="12040" max="12040" width="14.28515625" style="151" bestFit="1" customWidth="1"/>
    <col min="12041" max="12041" width="13.5703125" style="151" bestFit="1" customWidth="1"/>
    <col min="12042" max="12042" width="13.85546875" style="151" bestFit="1" customWidth="1"/>
    <col min="12043" max="12285" width="9.140625" style="151"/>
    <col min="12286" max="12286" width="4.42578125" style="151" customWidth="1"/>
    <col min="12287" max="12287" width="46.85546875" style="151" customWidth="1"/>
    <col min="12288" max="12288" width="11.28515625" style="151" bestFit="1" customWidth="1"/>
    <col min="12289" max="12289" width="11.42578125" style="151" bestFit="1" customWidth="1"/>
    <col min="12290" max="12290" width="11.85546875" style="151" customWidth="1"/>
    <col min="12291" max="12291" width="10" style="151" customWidth="1"/>
    <col min="12292" max="12292" width="11.140625" style="151" customWidth="1"/>
    <col min="12293" max="12293" width="10.28515625" style="151" bestFit="1" customWidth="1"/>
    <col min="12294" max="12294" width="10.140625" style="151" bestFit="1" customWidth="1"/>
    <col min="12295" max="12295" width="12" style="151" bestFit="1" customWidth="1"/>
    <col min="12296" max="12296" width="14.28515625" style="151" bestFit="1" customWidth="1"/>
    <col min="12297" max="12297" width="13.5703125" style="151" bestFit="1" customWidth="1"/>
    <col min="12298" max="12298" width="13.85546875" style="151" bestFit="1" customWidth="1"/>
    <col min="12299" max="12541" width="9.140625" style="151"/>
    <col min="12542" max="12542" width="4.42578125" style="151" customWidth="1"/>
    <col min="12543" max="12543" width="46.85546875" style="151" customWidth="1"/>
    <col min="12544" max="12544" width="11.28515625" style="151" bestFit="1" customWidth="1"/>
    <col min="12545" max="12545" width="11.42578125" style="151" bestFit="1" customWidth="1"/>
    <col min="12546" max="12546" width="11.85546875" style="151" customWidth="1"/>
    <col min="12547" max="12547" width="10" style="151" customWidth="1"/>
    <col min="12548" max="12548" width="11.140625" style="151" customWidth="1"/>
    <col min="12549" max="12549" width="10.28515625" style="151" bestFit="1" customWidth="1"/>
    <col min="12550" max="12550" width="10.140625" style="151" bestFit="1" customWidth="1"/>
    <col min="12551" max="12551" width="12" style="151" bestFit="1" customWidth="1"/>
    <col min="12552" max="12552" width="14.28515625" style="151" bestFit="1" customWidth="1"/>
    <col min="12553" max="12553" width="13.5703125" style="151" bestFit="1" customWidth="1"/>
    <col min="12554" max="12554" width="13.85546875" style="151" bestFit="1" customWidth="1"/>
    <col min="12555" max="12797" width="9.140625" style="151"/>
    <col min="12798" max="12798" width="4.42578125" style="151" customWidth="1"/>
    <col min="12799" max="12799" width="46.85546875" style="151" customWidth="1"/>
    <col min="12800" max="12800" width="11.28515625" style="151" bestFit="1" customWidth="1"/>
    <col min="12801" max="12801" width="11.42578125" style="151" bestFit="1" customWidth="1"/>
    <col min="12802" max="12802" width="11.85546875" style="151" customWidth="1"/>
    <col min="12803" max="12803" width="10" style="151" customWidth="1"/>
    <col min="12804" max="12804" width="11.140625" style="151" customWidth="1"/>
    <col min="12805" max="12805" width="10.28515625" style="151" bestFit="1" customWidth="1"/>
    <col min="12806" max="12806" width="10.140625" style="151" bestFit="1" customWidth="1"/>
    <col min="12807" max="12807" width="12" style="151" bestFit="1" customWidth="1"/>
    <col min="12808" max="12808" width="14.28515625" style="151" bestFit="1" customWidth="1"/>
    <col min="12809" max="12809" width="13.5703125" style="151" bestFit="1" customWidth="1"/>
    <col min="12810" max="12810" width="13.85546875" style="151" bestFit="1" customWidth="1"/>
    <col min="12811" max="13053" width="9.140625" style="151"/>
    <col min="13054" max="13054" width="4.42578125" style="151" customWidth="1"/>
    <col min="13055" max="13055" width="46.85546875" style="151" customWidth="1"/>
    <col min="13056" max="13056" width="11.28515625" style="151" bestFit="1" customWidth="1"/>
    <col min="13057" max="13057" width="11.42578125" style="151" bestFit="1" customWidth="1"/>
    <col min="13058" max="13058" width="11.85546875" style="151" customWidth="1"/>
    <col min="13059" max="13059" width="10" style="151" customWidth="1"/>
    <col min="13060" max="13060" width="11.140625" style="151" customWidth="1"/>
    <col min="13061" max="13061" width="10.28515625" style="151" bestFit="1" customWidth="1"/>
    <col min="13062" max="13062" width="10.140625" style="151" bestFit="1" customWidth="1"/>
    <col min="13063" max="13063" width="12" style="151" bestFit="1" customWidth="1"/>
    <col min="13064" max="13064" width="14.28515625" style="151" bestFit="1" customWidth="1"/>
    <col min="13065" max="13065" width="13.5703125" style="151" bestFit="1" customWidth="1"/>
    <col min="13066" max="13066" width="13.85546875" style="151" bestFit="1" customWidth="1"/>
    <col min="13067" max="13309" width="9.140625" style="151"/>
    <col min="13310" max="13310" width="4.42578125" style="151" customWidth="1"/>
    <col min="13311" max="13311" width="46.85546875" style="151" customWidth="1"/>
    <col min="13312" max="13312" width="11.28515625" style="151" bestFit="1" customWidth="1"/>
    <col min="13313" max="13313" width="11.42578125" style="151" bestFit="1" customWidth="1"/>
    <col min="13314" max="13314" width="11.85546875" style="151" customWidth="1"/>
    <col min="13315" max="13315" width="10" style="151" customWidth="1"/>
    <col min="13316" max="13316" width="11.140625" style="151" customWidth="1"/>
    <col min="13317" max="13317" width="10.28515625" style="151" bestFit="1" customWidth="1"/>
    <col min="13318" max="13318" width="10.140625" style="151" bestFit="1" customWidth="1"/>
    <col min="13319" max="13319" width="12" style="151" bestFit="1" customWidth="1"/>
    <col min="13320" max="13320" width="14.28515625" style="151" bestFit="1" customWidth="1"/>
    <col min="13321" max="13321" width="13.5703125" style="151" bestFit="1" customWidth="1"/>
    <col min="13322" max="13322" width="13.85546875" style="151" bestFit="1" customWidth="1"/>
    <col min="13323" max="13565" width="9.140625" style="151"/>
    <col min="13566" max="13566" width="4.42578125" style="151" customWidth="1"/>
    <col min="13567" max="13567" width="46.85546875" style="151" customWidth="1"/>
    <col min="13568" max="13568" width="11.28515625" style="151" bestFit="1" customWidth="1"/>
    <col min="13569" max="13569" width="11.42578125" style="151" bestFit="1" customWidth="1"/>
    <col min="13570" max="13570" width="11.85546875" style="151" customWidth="1"/>
    <col min="13571" max="13571" width="10" style="151" customWidth="1"/>
    <col min="13572" max="13572" width="11.140625" style="151" customWidth="1"/>
    <col min="13573" max="13573" width="10.28515625" style="151" bestFit="1" customWidth="1"/>
    <col min="13574" max="13574" width="10.140625" style="151" bestFit="1" customWidth="1"/>
    <col min="13575" max="13575" width="12" style="151" bestFit="1" customWidth="1"/>
    <col min="13576" max="13576" width="14.28515625" style="151" bestFit="1" customWidth="1"/>
    <col min="13577" max="13577" width="13.5703125" style="151" bestFit="1" customWidth="1"/>
    <col min="13578" max="13578" width="13.85546875" style="151" bestFit="1" customWidth="1"/>
    <col min="13579" max="13821" width="9.140625" style="151"/>
    <col min="13822" max="13822" width="4.42578125" style="151" customWidth="1"/>
    <col min="13823" max="13823" width="46.85546875" style="151" customWidth="1"/>
    <col min="13824" max="13824" width="11.28515625" style="151" bestFit="1" customWidth="1"/>
    <col min="13825" max="13825" width="11.42578125" style="151" bestFit="1" customWidth="1"/>
    <col min="13826" max="13826" width="11.85546875" style="151" customWidth="1"/>
    <col min="13827" max="13827" width="10" style="151" customWidth="1"/>
    <col min="13828" max="13828" width="11.140625" style="151" customWidth="1"/>
    <col min="13829" max="13829" width="10.28515625" style="151" bestFit="1" customWidth="1"/>
    <col min="13830" max="13830" width="10.140625" style="151" bestFit="1" customWidth="1"/>
    <col min="13831" max="13831" width="12" style="151" bestFit="1" customWidth="1"/>
    <col min="13832" max="13832" width="14.28515625" style="151" bestFit="1" customWidth="1"/>
    <col min="13833" max="13833" width="13.5703125" style="151" bestFit="1" customWidth="1"/>
    <col min="13834" max="13834" width="13.85546875" style="151" bestFit="1" customWidth="1"/>
    <col min="13835" max="14077" width="9.140625" style="151"/>
    <col min="14078" max="14078" width="4.42578125" style="151" customWidth="1"/>
    <col min="14079" max="14079" width="46.85546875" style="151" customWidth="1"/>
    <col min="14080" max="14080" width="11.28515625" style="151" bestFit="1" customWidth="1"/>
    <col min="14081" max="14081" width="11.42578125" style="151" bestFit="1" customWidth="1"/>
    <col min="14082" max="14082" width="11.85546875" style="151" customWidth="1"/>
    <col min="14083" max="14083" width="10" style="151" customWidth="1"/>
    <col min="14084" max="14084" width="11.140625" style="151" customWidth="1"/>
    <col min="14085" max="14085" width="10.28515625" style="151" bestFit="1" customWidth="1"/>
    <col min="14086" max="14086" width="10.140625" style="151" bestFit="1" customWidth="1"/>
    <col min="14087" max="14087" width="12" style="151" bestFit="1" customWidth="1"/>
    <col min="14088" max="14088" width="14.28515625" style="151" bestFit="1" customWidth="1"/>
    <col min="14089" max="14089" width="13.5703125" style="151" bestFit="1" customWidth="1"/>
    <col min="14090" max="14090" width="13.85546875" style="151" bestFit="1" customWidth="1"/>
    <col min="14091" max="14333" width="9.140625" style="151"/>
    <col min="14334" max="14334" width="4.42578125" style="151" customWidth="1"/>
    <col min="14335" max="14335" width="46.85546875" style="151" customWidth="1"/>
    <col min="14336" max="14336" width="11.28515625" style="151" bestFit="1" customWidth="1"/>
    <col min="14337" max="14337" width="11.42578125" style="151" bestFit="1" customWidth="1"/>
    <col min="14338" max="14338" width="11.85546875" style="151" customWidth="1"/>
    <col min="14339" max="14339" width="10" style="151" customWidth="1"/>
    <col min="14340" max="14340" width="11.140625" style="151" customWidth="1"/>
    <col min="14341" max="14341" width="10.28515625" style="151" bestFit="1" customWidth="1"/>
    <col min="14342" max="14342" width="10.140625" style="151" bestFit="1" customWidth="1"/>
    <col min="14343" max="14343" width="12" style="151" bestFit="1" customWidth="1"/>
    <col min="14344" max="14344" width="14.28515625" style="151" bestFit="1" customWidth="1"/>
    <col min="14345" max="14345" width="13.5703125" style="151" bestFit="1" customWidth="1"/>
    <col min="14346" max="14346" width="13.85546875" style="151" bestFit="1" customWidth="1"/>
    <col min="14347" max="14589" width="9.140625" style="151"/>
    <col min="14590" max="14590" width="4.42578125" style="151" customWidth="1"/>
    <col min="14591" max="14591" width="46.85546875" style="151" customWidth="1"/>
    <col min="14592" max="14592" width="11.28515625" style="151" bestFit="1" customWidth="1"/>
    <col min="14593" max="14593" width="11.42578125" style="151" bestFit="1" customWidth="1"/>
    <col min="14594" max="14594" width="11.85546875" style="151" customWidth="1"/>
    <col min="14595" max="14595" width="10" style="151" customWidth="1"/>
    <col min="14596" max="14596" width="11.140625" style="151" customWidth="1"/>
    <col min="14597" max="14597" width="10.28515625" style="151" bestFit="1" customWidth="1"/>
    <col min="14598" max="14598" width="10.140625" style="151" bestFit="1" customWidth="1"/>
    <col min="14599" max="14599" width="12" style="151" bestFit="1" customWidth="1"/>
    <col min="14600" max="14600" width="14.28515625" style="151" bestFit="1" customWidth="1"/>
    <col min="14601" max="14601" width="13.5703125" style="151" bestFit="1" customWidth="1"/>
    <col min="14602" max="14602" width="13.85546875" style="151" bestFit="1" customWidth="1"/>
    <col min="14603" max="14845" width="9.140625" style="151"/>
    <col min="14846" max="14846" width="4.42578125" style="151" customWidth="1"/>
    <col min="14847" max="14847" width="46.85546875" style="151" customWidth="1"/>
    <col min="14848" max="14848" width="11.28515625" style="151" bestFit="1" customWidth="1"/>
    <col min="14849" max="14849" width="11.42578125" style="151" bestFit="1" customWidth="1"/>
    <col min="14850" max="14850" width="11.85546875" style="151" customWidth="1"/>
    <col min="14851" max="14851" width="10" style="151" customWidth="1"/>
    <col min="14852" max="14852" width="11.140625" style="151" customWidth="1"/>
    <col min="14853" max="14853" width="10.28515625" style="151" bestFit="1" customWidth="1"/>
    <col min="14854" max="14854" width="10.140625" style="151" bestFit="1" customWidth="1"/>
    <col min="14855" max="14855" width="12" style="151" bestFit="1" customWidth="1"/>
    <col min="14856" max="14856" width="14.28515625" style="151" bestFit="1" customWidth="1"/>
    <col min="14857" max="14857" width="13.5703125" style="151" bestFit="1" customWidth="1"/>
    <col min="14858" max="14858" width="13.85546875" style="151" bestFit="1" customWidth="1"/>
    <col min="14859" max="15101" width="9.140625" style="151"/>
    <col min="15102" max="15102" width="4.42578125" style="151" customWidth="1"/>
    <col min="15103" max="15103" width="46.85546875" style="151" customWidth="1"/>
    <col min="15104" max="15104" width="11.28515625" style="151" bestFit="1" customWidth="1"/>
    <col min="15105" max="15105" width="11.42578125" style="151" bestFit="1" customWidth="1"/>
    <col min="15106" max="15106" width="11.85546875" style="151" customWidth="1"/>
    <col min="15107" max="15107" width="10" style="151" customWidth="1"/>
    <col min="15108" max="15108" width="11.140625" style="151" customWidth="1"/>
    <col min="15109" max="15109" width="10.28515625" style="151" bestFit="1" customWidth="1"/>
    <col min="15110" max="15110" width="10.140625" style="151" bestFit="1" customWidth="1"/>
    <col min="15111" max="15111" width="12" style="151" bestFit="1" customWidth="1"/>
    <col min="15112" max="15112" width="14.28515625" style="151" bestFit="1" customWidth="1"/>
    <col min="15113" max="15113" width="13.5703125" style="151" bestFit="1" customWidth="1"/>
    <col min="15114" max="15114" width="13.85546875" style="151" bestFit="1" customWidth="1"/>
    <col min="15115" max="15357" width="9.140625" style="151"/>
    <col min="15358" max="15358" width="4.42578125" style="151" customWidth="1"/>
    <col min="15359" max="15359" width="46.85546875" style="151" customWidth="1"/>
    <col min="15360" max="15360" width="11.28515625" style="151" bestFit="1" customWidth="1"/>
    <col min="15361" max="15361" width="11.42578125" style="151" bestFit="1" customWidth="1"/>
    <col min="15362" max="15362" width="11.85546875" style="151" customWidth="1"/>
    <col min="15363" max="15363" width="10" style="151" customWidth="1"/>
    <col min="15364" max="15364" width="11.140625" style="151" customWidth="1"/>
    <col min="15365" max="15365" width="10.28515625" style="151" bestFit="1" customWidth="1"/>
    <col min="15366" max="15366" width="10.140625" style="151" bestFit="1" customWidth="1"/>
    <col min="15367" max="15367" width="12" style="151" bestFit="1" customWidth="1"/>
    <col min="15368" max="15368" width="14.28515625" style="151" bestFit="1" customWidth="1"/>
    <col min="15369" max="15369" width="13.5703125" style="151" bestFit="1" customWidth="1"/>
    <col min="15370" max="15370" width="13.85546875" style="151" bestFit="1" customWidth="1"/>
    <col min="15371" max="15613" width="9.140625" style="151"/>
    <col min="15614" max="15614" width="4.42578125" style="151" customWidth="1"/>
    <col min="15615" max="15615" width="46.85546875" style="151" customWidth="1"/>
    <col min="15616" max="15616" width="11.28515625" style="151" bestFit="1" customWidth="1"/>
    <col min="15617" max="15617" width="11.42578125" style="151" bestFit="1" customWidth="1"/>
    <col min="15618" max="15618" width="11.85546875" style="151" customWidth="1"/>
    <col min="15619" max="15619" width="10" style="151" customWidth="1"/>
    <col min="15620" max="15620" width="11.140625" style="151" customWidth="1"/>
    <col min="15621" max="15621" width="10.28515625" style="151" bestFit="1" customWidth="1"/>
    <col min="15622" max="15622" width="10.140625" style="151" bestFit="1" customWidth="1"/>
    <col min="15623" max="15623" width="12" style="151" bestFit="1" customWidth="1"/>
    <col min="15624" max="15624" width="14.28515625" style="151" bestFit="1" customWidth="1"/>
    <col min="15625" max="15625" width="13.5703125" style="151" bestFit="1" customWidth="1"/>
    <col min="15626" max="15626" width="13.85546875" style="151" bestFit="1" customWidth="1"/>
    <col min="15627" max="15869" width="9.140625" style="151"/>
    <col min="15870" max="15870" width="4.42578125" style="151" customWidth="1"/>
    <col min="15871" max="15871" width="46.85546875" style="151" customWidth="1"/>
    <col min="15872" max="15872" width="11.28515625" style="151" bestFit="1" customWidth="1"/>
    <col min="15873" max="15873" width="11.42578125" style="151" bestFit="1" customWidth="1"/>
    <col min="15874" max="15874" width="11.85546875" style="151" customWidth="1"/>
    <col min="15875" max="15875" width="10" style="151" customWidth="1"/>
    <col min="15876" max="15876" width="11.140625" style="151" customWidth="1"/>
    <col min="15877" max="15877" width="10.28515625" style="151" bestFit="1" customWidth="1"/>
    <col min="15878" max="15878" width="10.140625" style="151" bestFit="1" customWidth="1"/>
    <col min="15879" max="15879" width="12" style="151" bestFit="1" customWidth="1"/>
    <col min="15880" max="15880" width="14.28515625" style="151" bestFit="1" customWidth="1"/>
    <col min="15881" max="15881" width="13.5703125" style="151" bestFit="1" customWidth="1"/>
    <col min="15882" max="15882" width="13.85546875" style="151" bestFit="1" customWidth="1"/>
    <col min="15883" max="16125" width="9.140625" style="151"/>
    <col min="16126" max="16126" width="4.42578125" style="151" customWidth="1"/>
    <col min="16127" max="16127" width="46.85546875" style="151" customWidth="1"/>
    <col min="16128" max="16128" width="11.28515625" style="151" bestFit="1" customWidth="1"/>
    <col min="16129" max="16129" width="11.42578125" style="151" bestFit="1" customWidth="1"/>
    <col min="16130" max="16130" width="11.85546875" style="151" customWidth="1"/>
    <col min="16131" max="16131" width="10" style="151" customWidth="1"/>
    <col min="16132" max="16132" width="11.140625" style="151" customWidth="1"/>
    <col min="16133" max="16133" width="10.28515625" style="151" bestFit="1" customWidth="1"/>
    <col min="16134" max="16134" width="10.140625" style="151" bestFit="1" customWidth="1"/>
    <col min="16135" max="16135" width="12" style="151" bestFit="1" customWidth="1"/>
    <col min="16136" max="16136" width="14.28515625" style="151" bestFit="1" customWidth="1"/>
    <col min="16137" max="16137" width="13.5703125" style="151" bestFit="1" customWidth="1"/>
    <col min="16138" max="16138" width="13.85546875" style="151" bestFit="1" customWidth="1"/>
    <col min="16139" max="16384" width="9.140625" style="151"/>
  </cols>
  <sheetData>
    <row r="1" spans="1:13" s="148" customFormat="1" ht="15">
      <c r="H1" s="149"/>
      <c r="I1" s="150"/>
      <c r="K1" s="149"/>
    </row>
    <row r="2" spans="1:13" ht="51" customHeight="1">
      <c r="A2" s="543" t="s">
        <v>1</v>
      </c>
      <c r="B2" s="543" t="s">
        <v>141</v>
      </c>
      <c r="C2" s="545" t="s">
        <v>142</v>
      </c>
      <c r="D2" s="545" t="s">
        <v>143</v>
      </c>
      <c r="E2" s="536" t="s">
        <v>144</v>
      </c>
      <c r="F2" s="536" t="s">
        <v>145</v>
      </c>
      <c r="G2" s="536" t="s">
        <v>146</v>
      </c>
      <c r="H2" s="537" t="s">
        <v>147</v>
      </c>
      <c r="I2" s="539" t="s">
        <v>148</v>
      </c>
      <c r="J2" s="541" t="s">
        <v>149</v>
      </c>
      <c r="K2" s="532" t="s">
        <v>150</v>
      </c>
      <c r="L2" s="532" t="s">
        <v>151</v>
      </c>
      <c r="M2" s="532" t="s">
        <v>152</v>
      </c>
    </row>
    <row r="3" spans="1:13" ht="130.5" customHeight="1">
      <c r="A3" s="544"/>
      <c r="B3" s="543"/>
      <c r="C3" s="546"/>
      <c r="D3" s="546"/>
      <c r="E3" s="536"/>
      <c r="F3" s="536"/>
      <c r="G3" s="536"/>
      <c r="H3" s="538"/>
      <c r="I3" s="540"/>
      <c r="J3" s="542"/>
      <c r="K3" s="533"/>
      <c r="L3" s="533"/>
      <c r="M3" s="533"/>
    </row>
    <row r="4" spans="1:13" ht="15">
      <c r="A4" s="152"/>
      <c r="B4" s="153"/>
      <c r="C4" s="153">
        <v>1</v>
      </c>
      <c r="D4" s="153">
        <v>2</v>
      </c>
      <c r="E4" s="153">
        <v>3</v>
      </c>
      <c r="F4" s="153">
        <v>4</v>
      </c>
      <c r="G4" s="153">
        <f t="shared" ref="G4:M4" si="0">F4+1</f>
        <v>5</v>
      </c>
      <c r="H4" s="153">
        <f t="shared" si="0"/>
        <v>6</v>
      </c>
      <c r="I4" s="153">
        <f t="shared" si="0"/>
        <v>7</v>
      </c>
      <c r="J4" s="153">
        <f t="shared" si="0"/>
        <v>8</v>
      </c>
      <c r="K4" s="153">
        <f t="shared" si="0"/>
        <v>9</v>
      </c>
      <c r="L4" s="153">
        <f t="shared" si="0"/>
        <v>10</v>
      </c>
      <c r="M4" s="153">
        <f t="shared" si="0"/>
        <v>11</v>
      </c>
    </row>
    <row r="5" spans="1:13" s="159" customFormat="1" ht="36" customHeight="1">
      <c r="A5" s="152"/>
      <c r="B5" s="153"/>
      <c r="C5" s="154" t="s">
        <v>153</v>
      </c>
      <c r="D5" s="154" t="s">
        <v>153</v>
      </c>
      <c r="E5" s="154" t="s">
        <v>154</v>
      </c>
      <c r="F5" s="155" t="s">
        <v>155</v>
      </c>
      <c r="G5" s="155" t="s">
        <v>156</v>
      </c>
      <c r="H5" s="156" t="s">
        <v>157</v>
      </c>
      <c r="I5" s="157" t="s">
        <v>158</v>
      </c>
      <c r="J5" s="156" t="s">
        <v>159</v>
      </c>
      <c r="K5" s="158" t="s">
        <v>160</v>
      </c>
      <c r="L5" s="155" t="s">
        <v>161</v>
      </c>
      <c r="M5" s="155" t="s">
        <v>162</v>
      </c>
    </row>
    <row r="6" spans="1:13" ht="0.75" hidden="1" customHeight="1">
      <c r="A6" s="160">
        <v>1</v>
      </c>
      <c r="B6" s="161" t="s">
        <v>163</v>
      </c>
      <c r="C6" s="162">
        <f>'[17]10.1.13 ALL'!C6</f>
        <v>9784</v>
      </c>
      <c r="D6" s="162">
        <f>'[17]2.1.14 ALL'!C6</f>
        <v>9664</v>
      </c>
      <c r="E6" s="163">
        <f>D6-C6</f>
        <v>-120</v>
      </c>
      <c r="F6" s="163">
        <f t="shared" ref="F6:F69" si="1">IF(E6&gt;0,E6,0)</f>
        <v>0</v>
      </c>
      <c r="G6" s="163">
        <f t="shared" ref="G6:G69" si="2">IF(E6&lt;0,E6,0)</f>
        <v>-120</v>
      </c>
      <c r="H6" s="164">
        <f>'[18]Table 3 Levels 1&amp;2'!AL8</f>
        <v>4597.5882673899441</v>
      </c>
      <c r="I6" s="164">
        <f>'[18]Table 4 Level 3'!P6</f>
        <v>777.48</v>
      </c>
      <c r="J6" s="164">
        <f>(I6+H6)*0.5</f>
        <v>2687.5341336949723</v>
      </c>
      <c r="K6" s="165">
        <f t="shared" ref="K6:K69" si="3">E6*J6</f>
        <v>-322504.09604339668</v>
      </c>
      <c r="L6" s="164">
        <f t="shared" ref="L6:L69" si="4">IF(K6&gt;0,K6,0)</f>
        <v>0</v>
      </c>
      <c r="M6" s="164">
        <f t="shared" ref="M6:M69" si="5">IF(K6&lt;0,K6,0)</f>
        <v>-322504.09604339668</v>
      </c>
    </row>
    <row r="7" spans="1:13" ht="14.25" hidden="1">
      <c r="A7" s="160">
        <v>2</v>
      </c>
      <c r="B7" s="161" t="s">
        <v>164</v>
      </c>
      <c r="C7" s="162">
        <f>'[17]10.1.13 ALL'!C7</f>
        <v>4102</v>
      </c>
      <c r="D7" s="162">
        <f>'[17]2.1.14 ALL'!C7</f>
        <v>4070</v>
      </c>
      <c r="E7" s="163">
        <f t="shared" ref="E7:E70" si="6">D7-C7</f>
        <v>-32</v>
      </c>
      <c r="F7" s="163">
        <f t="shared" si="1"/>
        <v>0</v>
      </c>
      <c r="G7" s="163">
        <f t="shared" si="2"/>
        <v>-32</v>
      </c>
      <c r="H7" s="164">
        <f>'[18]Table 3 Levels 1&amp;2'!AL9</f>
        <v>6182.4313545138375</v>
      </c>
      <c r="I7" s="164">
        <f>'[18]Table 4 Level 3'!P7</f>
        <v>842.32</v>
      </c>
      <c r="J7" s="164">
        <f t="shared" ref="J7:J70" si="7">(I7+H7)*0.5</f>
        <v>3512.3756772569186</v>
      </c>
      <c r="K7" s="165">
        <f t="shared" si="3"/>
        <v>-112396.0216722214</v>
      </c>
      <c r="L7" s="164">
        <f t="shared" si="4"/>
        <v>0</v>
      </c>
      <c r="M7" s="164">
        <f t="shared" si="5"/>
        <v>-112396.0216722214</v>
      </c>
    </row>
    <row r="8" spans="1:13" ht="14.25" hidden="1">
      <c r="A8" s="160">
        <v>3</v>
      </c>
      <c r="B8" s="161" t="s">
        <v>165</v>
      </c>
      <c r="C8" s="166">
        <f>'[17]10.1.13 ALL'!C8</f>
        <v>20933</v>
      </c>
      <c r="D8" s="162">
        <f>'[17]2.1.14 ALL'!C8</f>
        <v>20853</v>
      </c>
      <c r="E8" s="163">
        <f t="shared" si="6"/>
        <v>-80</v>
      </c>
      <c r="F8" s="163">
        <f t="shared" si="1"/>
        <v>0</v>
      </c>
      <c r="G8" s="163">
        <f t="shared" si="2"/>
        <v>-80</v>
      </c>
      <c r="H8" s="164">
        <f>'[18]Table 3 Levels 1&amp;2'!AL10</f>
        <v>4206.710737685361</v>
      </c>
      <c r="I8" s="167">
        <f>'[18]Table 4 Level 3'!P8</f>
        <v>596.84</v>
      </c>
      <c r="J8" s="167">
        <f t="shared" si="7"/>
        <v>2401.7753688426806</v>
      </c>
      <c r="K8" s="165">
        <f t="shared" si="3"/>
        <v>-192142.02950741444</v>
      </c>
      <c r="L8" s="167">
        <f t="shared" si="4"/>
        <v>0</v>
      </c>
      <c r="M8" s="167">
        <f t="shared" si="5"/>
        <v>-192142.02950741444</v>
      </c>
    </row>
    <row r="9" spans="1:13" ht="14.25" hidden="1">
      <c r="A9" s="160">
        <v>4</v>
      </c>
      <c r="B9" s="161" t="s">
        <v>166</v>
      </c>
      <c r="C9" s="166">
        <f>'[17]10.1.13 ALL'!C9</f>
        <v>3597</v>
      </c>
      <c r="D9" s="162">
        <f>'[17]2.1.14 ALL'!C9</f>
        <v>3565</v>
      </c>
      <c r="E9" s="163">
        <f t="shared" si="6"/>
        <v>-32</v>
      </c>
      <c r="F9" s="163">
        <f t="shared" si="1"/>
        <v>0</v>
      </c>
      <c r="G9" s="163">
        <f t="shared" si="2"/>
        <v>-32</v>
      </c>
      <c r="H9" s="164">
        <f>'[18]Table 3 Levels 1&amp;2'!AL11</f>
        <v>5987.4993535453223</v>
      </c>
      <c r="I9" s="167">
        <f>'[18]Table 4 Level 3'!P9</f>
        <v>585.76</v>
      </c>
      <c r="J9" s="167">
        <f t="shared" si="7"/>
        <v>3286.6296767726612</v>
      </c>
      <c r="K9" s="165">
        <f t="shared" si="3"/>
        <v>-105172.14965672516</v>
      </c>
      <c r="L9" s="167">
        <f t="shared" si="4"/>
        <v>0</v>
      </c>
      <c r="M9" s="167">
        <f t="shared" si="5"/>
        <v>-105172.14965672516</v>
      </c>
    </row>
    <row r="10" spans="1:13" ht="14.25" hidden="1">
      <c r="A10" s="168">
        <v>5</v>
      </c>
      <c r="B10" s="169" t="s">
        <v>167</v>
      </c>
      <c r="C10" s="170">
        <f>'[17]10.1.13 ALL'!C10</f>
        <v>5658</v>
      </c>
      <c r="D10" s="171">
        <f>'[17]2.1.14 ALL'!C10</f>
        <v>5610</v>
      </c>
      <c r="E10" s="172">
        <f t="shared" si="6"/>
        <v>-48</v>
      </c>
      <c r="F10" s="172">
        <f t="shared" si="1"/>
        <v>0</v>
      </c>
      <c r="G10" s="172">
        <f t="shared" si="2"/>
        <v>-48</v>
      </c>
      <c r="H10" s="173">
        <f>'[18]Table 3 Levels 1&amp;2'!AL12</f>
        <v>4986.8166927080074</v>
      </c>
      <c r="I10" s="174">
        <f>'[18]Table 4 Level 3'!P10</f>
        <v>555.91</v>
      </c>
      <c r="J10" s="174">
        <f t="shared" si="7"/>
        <v>2771.3633463540036</v>
      </c>
      <c r="K10" s="175">
        <f t="shared" si="3"/>
        <v>-133025.44062499219</v>
      </c>
      <c r="L10" s="174">
        <f t="shared" si="4"/>
        <v>0</v>
      </c>
      <c r="M10" s="174">
        <f t="shared" si="5"/>
        <v>-133025.44062499219</v>
      </c>
    </row>
    <row r="11" spans="1:13" ht="14.25" hidden="1">
      <c r="A11" s="160">
        <v>6</v>
      </c>
      <c r="B11" s="161" t="s">
        <v>168</v>
      </c>
      <c r="C11" s="162">
        <f>'[17]10.1.13 ALL'!C11</f>
        <v>5945</v>
      </c>
      <c r="D11" s="162">
        <f>'[17]2.1.14 ALL'!C11</f>
        <v>5861</v>
      </c>
      <c r="E11" s="163">
        <f t="shared" si="6"/>
        <v>-84</v>
      </c>
      <c r="F11" s="163">
        <f t="shared" si="1"/>
        <v>0</v>
      </c>
      <c r="G11" s="163">
        <f t="shared" si="2"/>
        <v>-84</v>
      </c>
      <c r="H11" s="164">
        <f>'[18]Table 3 Levels 1&amp;2'!AL13</f>
        <v>5412.7883404260592</v>
      </c>
      <c r="I11" s="164">
        <f>'[18]Table 4 Level 3'!P11</f>
        <v>545.4799999999999</v>
      </c>
      <c r="J11" s="164">
        <f t="shared" si="7"/>
        <v>2979.1341702130294</v>
      </c>
      <c r="K11" s="165">
        <f t="shared" si="3"/>
        <v>-250247.27029789446</v>
      </c>
      <c r="L11" s="164">
        <f t="shared" si="4"/>
        <v>0</v>
      </c>
      <c r="M11" s="164">
        <f t="shared" si="5"/>
        <v>-250247.27029789446</v>
      </c>
    </row>
    <row r="12" spans="1:13" ht="14.25" hidden="1">
      <c r="A12" s="160">
        <v>7</v>
      </c>
      <c r="B12" s="161" t="s">
        <v>169</v>
      </c>
      <c r="C12" s="162">
        <f>'[17]10.1.13 ALL'!C12</f>
        <v>2185</v>
      </c>
      <c r="D12" s="162">
        <f>'[17]2.1.14 ALL'!C12</f>
        <v>2178</v>
      </c>
      <c r="E12" s="163">
        <f t="shared" si="6"/>
        <v>-7</v>
      </c>
      <c r="F12" s="163">
        <f t="shared" si="1"/>
        <v>0</v>
      </c>
      <c r="G12" s="163">
        <f t="shared" si="2"/>
        <v>-7</v>
      </c>
      <c r="H12" s="164">
        <f>'[18]Table 3 Levels 1&amp;2'!AL14</f>
        <v>1766.1023604176123</v>
      </c>
      <c r="I12" s="164">
        <f>'[18]Table 4 Level 3'!P12</f>
        <v>756.91999999999985</v>
      </c>
      <c r="J12" s="164">
        <f t="shared" si="7"/>
        <v>1261.5111802088061</v>
      </c>
      <c r="K12" s="165">
        <f t="shared" si="3"/>
        <v>-8830.5782614616419</v>
      </c>
      <c r="L12" s="164">
        <f t="shared" si="4"/>
        <v>0</v>
      </c>
      <c r="M12" s="164">
        <f t="shared" si="5"/>
        <v>-8830.5782614616419</v>
      </c>
    </row>
    <row r="13" spans="1:13" ht="14.25" hidden="1">
      <c r="A13" s="160">
        <v>8</v>
      </c>
      <c r="B13" s="161" t="s">
        <v>170</v>
      </c>
      <c r="C13" s="166">
        <f>'[17]10.1.13 ALL'!C13</f>
        <v>21547</v>
      </c>
      <c r="D13" s="162">
        <f>'[17]2.1.14 ALL'!C13</f>
        <v>21455</v>
      </c>
      <c r="E13" s="163">
        <f t="shared" si="6"/>
        <v>-92</v>
      </c>
      <c r="F13" s="163">
        <f t="shared" si="1"/>
        <v>0</v>
      </c>
      <c r="G13" s="163">
        <f t="shared" si="2"/>
        <v>-92</v>
      </c>
      <c r="H13" s="164">
        <f>'[18]Table 3 Levels 1&amp;2'!AL15</f>
        <v>4289.5073606712331</v>
      </c>
      <c r="I13" s="167">
        <f>'[18]Table 4 Level 3'!P13</f>
        <v>725.76</v>
      </c>
      <c r="J13" s="167">
        <f t="shared" si="7"/>
        <v>2507.6336803356166</v>
      </c>
      <c r="K13" s="165">
        <f t="shared" si="3"/>
        <v>-230702.29859087674</v>
      </c>
      <c r="L13" s="167">
        <f t="shared" si="4"/>
        <v>0</v>
      </c>
      <c r="M13" s="167">
        <f t="shared" si="5"/>
        <v>-230702.29859087674</v>
      </c>
    </row>
    <row r="14" spans="1:13" ht="14.25" hidden="1">
      <c r="A14" s="160">
        <v>9</v>
      </c>
      <c r="B14" s="161" t="s">
        <v>171</v>
      </c>
      <c r="C14" s="166">
        <f>'[17]10.1.13 ALL'!C14</f>
        <v>39972</v>
      </c>
      <c r="D14" s="176">
        <f>'[17]2.1.14 ALL'!C14</f>
        <v>39798</v>
      </c>
      <c r="E14" s="163">
        <f t="shared" si="6"/>
        <v>-174</v>
      </c>
      <c r="F14" s="163">
        <f t="shared" si="1"/>
        <v>0</v>
      </c>
      <c r="G14" s="163">
        <f t="shared" si="2"/>
        <v>-174</v>
      </c>
      <c r="H14" s="177">
        <f>'[18]Table 3 Levels 1&amp;2'!AL16</f>
        <v>4395.6154516889328</v>
      </c>
      <c r="I14" s="177">
        <f>'[18]Table 4 Level 3'!P14</f>
        <v>744.76</v>
      </c>
      <c r="J14" s="167">
        <f t="shared" si="7"/>
        <v>2570.1877258444665</v>
      </c>
      <c r="K14" s="165">
        <f t="shared" si="3"/>
        <v>-447212.66429693718</v>
      </c>
      <c r="L14" s="178">
        <f t="shared" si="4"/>
        <v>0</v>
      </c>
      <c r="M14" s="178">
        <f t="shared" si="5"/>
        <v>-447212.66429693718</v>
      </c>
    </row>
    <row r="15" spans="1:13" ht="14.25" hidden="1">
      <c r="A15" s="168">
        <v>10</v>
      </c>
      <c r="B15" s="169" t="s">
        <v>172</v>
      </c>
      <c r="C15" s="170">
        <f>'[17]10.1.13 ALL'!C15</f>
        <v>30778</v>
      </c>
      <c r="D15" s="170">
        <f>'[17]2.1.14 ALL'!C15</f>
        <v>30696</v>
      </c>
      <c r="E15" s="172">
        <f t="shared" si="6"/>
        <v>-82</v>
      </c>
      <c r="F15" s="172">
        <f t="shared" si="1"/>
        <v>0</v>
      </c>
      <c r="G15" s="172">
        <f t="shared" si="2"/>
        <v>-82</v>
      </c>
      <c r="H15" s="174">
        <f>'[18]Table 3 Levels 1&amp;2'!AL17</f>
        <v>4253.5980618992444</v>
      </c>
      <c r="I15" s="174">
        <f>'[18]Table 4 Level 3'!P15</f>
        <v>608.04000000000008</v>
      </c>
      <c r="J15" s="174">
        <f t="shared" si="7"/>
        <v>2430.8190309496222</v>
      </c>
      <c r="K15" s="175">
        <f t="shared" si="3"/>
        <v>-199327.16053786903</v>
      </c>
      <c r="L15" s="179">
        <f t="shared" si="4"/>
        <v>0</v>
      </c>
      <c r="M15" s="179">
        <f t="shared" si="5"/>
        <v>-199327.16053786903</v>
      </c>
    </row>
    <row r="16" spans="1:13" ht="14.25" hidden="1">
      <c r="A16" s="160">
        <v>11</v>
      </c>
      <c r="B16" s="161" t="s">
        <v>173</v>
      </c>
      <c r="C16" s="162">
        <f>'[17]10.1.13 ALL'!C16</f>
        <v>1571</v>
      </c>
      <c r="D16" s="166">
        <f>'[17]2.1.14 ALL'!C16</f>
        <v>1564</v>
      </c>
      <c r="E16" s="163">
        <f t="shared" si="6"/>
        <v>-7</v>
      </c>
      <c r="F16" s="163">
        <f t="shared" si="1"/>
        <v>0</v>
      </c>
      <c r="G16" s="163">
        <f t="shared" si="2"/>
        <v>-7</v>
      </c>
      <c r="H16" s="164">
        <f>'[18]Table 3 Levels 1&amp;2'!AL18</f>
        <v>6852.9138435383502</v>
      </c>
      <c r="I16" s="164">
        <f>'[18]Table 4 Level 3'!P16</f>
        <v>706.55</v>
      </c>
      <c r="J16" s="164">
        <f t="shared" si="7"/>
        <v>3779.7319217691752</v>
      </c>
      <c r="K16" s="165">
        <f t="shared" si="3"/>
        <v>-26458.123452384225</v>
      </c>
      <c r="L16" s="178">
        <f t="shared" si="4"/>
        <v>0</v>
      </c>
      <c r="M16" s="178">
        <f t="shared" si="5"/>
        <v>-26458.123452384225</v>
      </c>
    </row>
    <row r="17" spans="1:13" ht="14.25" hidden="1">
      <c r="A17" s="160">
        <v>12</v>
      </c>
      <c r="B17" s="161" t="s">
        <v>174</v>
      </c>
      <c r="C17" s="162">
        <f>'[17]10.1.13 ALL'!C17</f>
        <v>1235</v>
      </c>
      <c r="D17" s="166">
        <f>'[17]2.1.14 ALL'!C17</f>
        <v>1217</v>
      </c>
      <c r="E17" s="163">
        <f t="shared" si="6"/>
        <v>-18</v>
      </c>
      <c r="F17" s="163">
        <f t="shared" si="1"/>
        <v>0</v>
      </c>
      <c r="G17" s="163">
        <f t="shared" si="2"/>
        <v>-18</v>
      </c>
      <c r="H17" s="164">
        <f>'[18]Table 3 Levels 1&amp;2'!AL19</f>
        <v>1733.9056059356967</v>
      </c>
      <c r="I17" s="164">
        <f>'[18]Table 4 Level 3'!P17</f>
        <v>1063.31</v>
      </c>
      <c r="J17" s="164">
        <f t="shared" si="7"/>
        <v>1398.6078029678483</v>
      </c>
      <c r="K17" s="165">
        <f t="shared" si="3"/>
        <v>-25174.94045342127</v>
      </c>
      <c r="L17" s="178">
        <f t="shared" si="4"/>
        <v>0</v>
      </c>
      <c r="M17" s="178">
        <f t="shared" si="5"/>
        <v>-25174.94045342127</v>
      </c>
    </row>
    <row r="18" spans="1:13" ht="14.25" hidden="1">
      <c r="A18" s="160">
        <v>13</v>
      </c>
      <c r="B18" s="161" t="s">
        <v>175</v>
      </c>
      <c r="C18" s="166">
        <f>'[17]10.1.13 ALL'!C18</f>
        <v>1443</v>
      </c>
      <c r="D18" s="166">
        <f>'[17]2.1.14 ALL'!C18</f>
        <v>1430</v>
      </c>
      <c r="E18" s="163">
        <f t="shared" si="6"/>
        <v>-13</v>
      </c>
      <c r="F18" s="163">
        <f t="shared" si="1"/>
        <v>0</v>
      </c>
      <c r="G18" s="163">
        <f t="shared" si="2"/>
        <v>-13</v>
      </c>
      <c r="H18" s="167">
        <f>'[18]Table 3 Levels 1&amp;2'!AL20</f>
        <v>6254.1238637730876</v>
      </c>
      <c r="I18" s="167">
        <f>'[18]Table 4 Level 3'!P18</f>
        <v>749.43000000000006</v>
      </c>
      <c r="J18" s="167">
        <f t="shared" si="7"/>
        <v>3501.7769318865439</v>
      </c>
      <c r="K18" s="165">
        <f t="shared" si="3"/>
        <v>-45523.10011452507</v>
      </c>
      <c r="L18" s="178">
        <f t="shared" si="4"/>
        <v>0</v>
      </c>
      <c r="M18" s="178">
        <f t="shared" si="5"/>
        <v>-45523.10011452507</v>
      </c>
    </row>
    <row r="19" spans="1:13" ht="14.25" hidden="1">
      <c r="A19" s="160">
        <v>14</v>
      </c>
      <c r="B19" s="161" t="s">
        <v>176</v>
      </c>
      <c r="C19" s="166">
        <f>'[17]10.1.13 ALL'!C19</f>
        <v>1665</v>
      </c>
      <c r="D19" s="166">
        <f>'[17]2.1.14 ALL'!C19</f>
        <v>1661</v>
      </c>
      <c r="E19" s="163">
        <f t="shared" si="6"/>
        <v>-4</v>
      </c>
      <c r="F19" s="163">
        <f t="shared" si="1"/>
        <v>0</v>
      </c>
      <c r="G19" s="163">
        <f t="shared" si="2"/>
        <v>-4</v>
      </c>
      <c r="H19" s="167">
        <f>'[18]Table 3 Levels 1&amp;2'!AL21</f>
        <v>5377.9187438545459</v>
      </c>
      <c r="I19" s="167">
        <f>'[18]Table 4 Level 3'!P19</f>
        <v>809.9799999999999</v>
      </c>
      <c r="J19" s="167">
        <f t="shared" si="7"/>
        <v>3093.9493719272728</v>
      </c>
      <c r="K19" s="165">
        <f t="shared" si="3"/>
        <v>-12375.797487709091</v>
      </c>
      <c r="L19" s="178">
        <f t="shared" si="4"/>
        <v>0</v>
      </c>
      <c r="M19" s="178">
        <f t="shared" si="5"/>
        <v>-12375.797487709091</v>
      </c>
    </row>
    <row r="20" spans="1:13" ht="14.25" hidden="1">
      <c r="A20" s="168">
        <v>15</v>
      </c>
      <c r="B20" s="169" t="s">
        <v>177</v>
      </c>
      <c r="C20" s="170">
        <f>'[17]10.1.13 ALL'!C20</f>
        <v>3416</v>
      </c>
      <c r="D20" s="170">
        <f>'[17]2.1.14 ALL'!C20</f>
        <v>3374</v>
      </c>
      <c r="E20" s="172">
        <f t="shared" si="6"/>
        <v>-42</v>
      </c>
      <c r="F20" s="172">
        <f t="shared" si="1"/>
        <v>0</v>
      </c>
      <c r="G20" s="172">
        <f t="shared" si="2"/>
        <v>-42</v>
      </c>
      <c r="H20" s="174">
        <f>'[18]Table 3 Levels 1&amp;2'!AL22</f>
        <v>5527.7651197617861</v>
      </c>
      <c r="I20" s="174">
        <f>'[18]Table 4 Level 3'!P20</f>
        <v>553.79999999999995</v>
      </c>
      <c r="J20" s="174">
        <f t="shared" si="7"/>
        <v>3040.7825598808931</v>
      </c>
      <c r="K20" s="175">
        <f t="shared" si="3"/>
        <v>-127712.86751499752</v>
      </c>
      <c r="L20" s="179">
        <f t="shared" si="4"/>
        <v>0</v>
      </c>
      <c r="M20" s="179">
        <f t="shared" si="5"/>
        <v>-127712.86751499752</v>
      </c>
    </row>
    <row r="21" spans="1:13" ht="14.25" hidden="1">
      <c r="A21" s="160">
        <v>16</v>
      </c>
      <c r="B21" s="161" t="s">
        <v>178</v>
      </c>
      <c r="C21" s="162">
        <f>'[17]10.1.13 ALL'!C21</f>
        <v>4880</v>
      </c>
      <c r="D21" s="180">
        <f>'[17]2.1.14 ALL'!C21</f>
        <v>4848</v>
      </c>
      <c r="E21" s="163">
        <f t="shared" si="6"/>
        <v>-32</v>
      </c>
      <c r="F21" s="163">
        <f t="shared" si="1"/>
        <v>0</v>
      </c>
      <c r="G21" s="163">
        <f t="shared" si="2"/>
        <v>-32</v>
      </c>
      <c r="H21" s="164">
        <f>'[18]Table 3 Levels 1&amp;2'!AL23</f>
        <v>1530.3678845377474</v>
      </c>
      <c r="I21" s="164">
        <f>'[18]Table 4 Level 3'!P21</f>
        <v>686.73</v>
      </c>
      <c r="J21" s="164">
        <f t="shared" si="7"/>
        <v>1108.5489422688738</v>
      </c>
      <c r="K21" s="165">
        <f t="shared" si="3"/>
        <v>-35473.566152603962</v>
      </c>
      <c r="L21" s="178">
        <f t="shared" si="4"/>
        <v>0</v>
      </c>
      <c r="M21" s="178">
        <f t="shared" si="5"/>
        <v>-35473.566152603962</v>
      </c>
    </row>
    <row r="22" spans="1:13" ht="14.25" hidden="1">
      <c r="A22" s="160">
        <v>17</v>
      </c>
      <c r="B22" s="161" t="s">
        <v>179</v>
      </c>
      <c r="C22" s="166">
        <f>'[17]10.1.13 ALL'!C22</f>
        <v>40241</v>
      </c>
      <c r="D22" s="176">
        <f>'[17]2.1.14 ALL'!C22</f>
        <v>40250</v>
      </c>
      <c r="E22" s="163">
        <f t="shared" si="6"/>
        <v>9</v>
      </c>
      <c r="F22" s="163">
        <f t="shared" si="1"/>
        <v>9</v>
      </c>
      <c r="G22" s="163">
        <f t="shared" si="2"/>
        <v>0</v>
      </c>
      <c r="H22" s="177">
        <f>'[18]Table 3 Levels 1&amp;2'!AL24</f>
        <v>3313.0666313017805</v>
      </c>
      <c r="I22" s="177">
        <f>'[18]Table 4 Level 3'!P22</f>
        <v>801.47762416806802</v>
      </c>
      <c r="J22" s="167">
        <f t="shared" si="7"/>
        <v>2057.2721277349242</v>
      </c>
      <c r="K22" s="165">
        <f t="shared" si="3"/>
        <v>18515.449149614316</v>
      </c>
      <c r="L22" s="178">
        <f t="shared" si="4"/>
        <v>18515.449149614316</v>
      </c>
      <c r="M22" s="178">
        <f t="shared" si="5"/>
        <v>0</v>
      </c>
    </row>
    <row r="23" spans="1:13" ht="14.25" hidden="1">
      <c r="A23" s="160">
        <v>18</v>
      </c>
      <c r="B23" s="161" t="s">
        <v>180</v>
      </c>
      <c r="C23" s="166">
        <f>'[17]10.1.13 ALL'!C23</f>
        <v>1066</v>
      </c>
      <c r="D23" s="166">
        <f>'[17]2.1.14 ALL'!C23</f>
        <v>1048</v>
      </c>
      <c r="E23" s="163">
        <f t="shared" si="6"/>
        <v>-18</v>
      </c>
      <c r="F23" s="163">
        <f t="shared" si="1"/>
        <v>0</v>
      </c>
      <c r="G23" s="163">
        <f t="shared" si="2"/>
        <v>-18</v>
      </c>
      <c r="H23" s="167">
        <f>'[18]Table 3 Levels 1&amp;2'!AL25</f>
        <v>5989.1351892854573</v>
      </c>
      <c r="I23" s="167">
        <f>'[18]Table 4 Level 3'!P23</f>
        <v>845.94999999999993</v>
      </c>
      <c r="J23" s="167">
        <f t="shared" si="7"/>
        <v>3417.5425946427285</v>
      </c>
      <c r="K23" s="165">
        <f t="shared" si="3"/>
        <v>-61515.766703569112</v>
      </c>
      <c r="L23" s="178">
        <f t="shared" si="4"/>
        <v>0</v>
      </c>
      <c r="M23" s="178">
        <f t="shared" si="5"/>
        <v>-61515.766703569112</v>
      </c>
    </row>
    <row r="24" spans="1:13" ht="14.25" hidden="1">
      <c r="A24" s="160">
        <v>19</v>
      </c>
      <c r="B24" s="161" t="s">
        <v>181</v>
      </c>
      <c r="C24" s="166">
        <f>'[17]10.1.13 ALL'!C24</f>
        <v>1885</v>
      </c>
      <c r="D24" s="166">
        <f>'[17]2.1.14 ALL'!C24</f>
        <v>1884</v>
      </c>
      <c r="E24" s="163">
        <f t="shared" si="6"/>
        <v>-1</v>
      </c>
      <c r="F24" s="163">
        <f t="shared" si="1"/>
        <v>0</v>
      </c>
      <c r="G24" s="163">
        <f t="shared" si="2"/>
        <v>-1</v>
      </c>
      <c r="H24" s="167">
        <f>'[18]Table 3 Levels 1&amp;2'!AL26</f>
        <v>5315.8913399708035</v>
      </c>
      <c r="I24" s="167">
        <f>'[18]Table 4 Level 3'!P24</f>
        <v>905.43</v>
      </c>
      <c r="J24" s="167">
        <f t="shared" si="7"/>
        <v>3110.6606699854019</v>
      </c>
      <c r="K24" s="165">
        <f t="shared" si="3"/>
        <v>-3110.6606699854019</v>
      </c>
      <c r="L24" s="178">
        <f t="shared" si="4"/>
        <v>0</v>
      </c>
      <c r="M24" s="178">
        <f t="shared" si="5"/>
        <v>-3110.6606699854019</v>
      </c>
    </row>
    <row r="25" spans="1:13" ht="14.25" hidden="1">
      <c r="A25" s="168">
        <v>20</v>
      </c>
      <c r="B25" s="169" t="s">
        <v>182</v>
      </c>
      <c r="C25" s="170">
        <f>'[17]10.1.13 ALL'!C25</f>
        <v>5925</v>
      </c>
      <c r="D25" s="170">
        <f>'[17]2.1.14 ALL'!C25</f>
        <v>5840</v>
      </c>
      <c r="E25" s="172">
        <f t="shared" si="6"/>
        <v>-85</v>
      </c>
      <c r="F25" s="172">
        <f t="shared" si="1"/>
        <v>0</v>
      </c>
      <c r="G25" s="172">
        <f t="shared" si="2"/>
        <v>-85</v>
      </c>
      <c r="H25" s="174">
        <f>'[18]Table 3 Levels 1&amp;2'!AL27</f>
        <v>5420.2042919205833</v>
      </c>
      <c r="I25" s="174">
        <f>'[18]Table 4 Level 3'!P25</f>
        <v>586.16999999999996</v>
      </c>
      <c r="J25" s="174">
        <f t="shared" si="7"/>
        <v>3003.1871459602917</v>
      </c>
      <c r="K25" s="175">
        <f t="shared" si="3"/>
        <v>-255270.90740662478</v>
      </c>
      <c r="L25" s="179">
        <f t="shared" si="4"/>
        <v>0</v>
      </c>
      <c r="M25" s="179">
        <f t="shared" si="5"/>
        <v>-255270.90740662478</v>
      </c>
    </row>
    <row r="26" spans="1:13" ht="14.25" hidden="1">
      <c r="A26" s="160">
        <v>21</v>
      </c>
      <c r="B26" s="161" t="s">
        <v>183</v>
      </c>
      <c r="C26" s="162">
        <f>'[17]10.1.13 ALL'!C26</f>
        <v>2906</v>
      </c>
      <c r="D26" s="166">
        <f>'[17]2.1.14 ALL'!C26</f>
        <v>2890</v>
      </c>
      <c r="E26" s="163">
        <f t="shared" si="6"/>
        <v>-16</v>
      </c>
      <c r="F26" s="163">
        <f t="shared" si="1"/>
        <v>0</v>
      </c>
      <c r="G26" s="163">
        <f t="shared" si="2"/>
        <v>-16</v>
      </c>
      <c r="H26" s="164">
        <f>'[18]Table 3 Levels 1&amp;2'!AL28</f>
        <v>5724.5404916279067</v>
      </c>
      <c r="I26" s="164">
        <f>'[18]Table 4 Level 3'!P26</f>
        <v>610.35</v>
      </c>
      <c r="J26" s="164">
        <f t="shared" si="7"/>
        <v>3167.4452458139535</v>
      </c>
      <c r="K26" s="165">
        <f t="shared" si="3"/>
        <v>-50679.123933023257</v>
      </c>
      <c r="L26" s="178">
        <f t="shared" si="4"/>
        <v>0</v>
      </c>
      <c r="M26" s="178">
        <f t="shared" si="5"/>
        <v>-50679.123933023257</v>
      </c>
    </row>
    <row r="27" spans="1:13" ht="14.25" hidden="1">
      <c r="A27" s="160">
        <v>22</v>
      </c>
      <c r="B27" s="161" t="s">
        <v>184</v>
      </c>
      <c r="C27" s="162">
        <f>'[17]10.1.13 ALL'!C27</f>
        <v>3130</v>
      </c>
      <c r="D27" s="166">
        <f>'[17]2.1.14 ALL'!C27</f>
        <v>3126</v>
      </c>
      <c r="E27" s="163">
        <f t="shared" si="6"/>
        <v>-4</v>
      </c>
      <c r="F27" s="163">
        <f t="shared" si="1"/>
        <v>0</v>
      </c>
      <c r="G27" s="163">
        <f t="shared" si="2"/>
        <v>-4</v>
      </c>
      <c r="H27" s="164">
        <f>'[18]Table 3 Levels 1&amp;2'!AL29</f>
        <v>6203.2933768722742</v>
      </c>
      <c r="I27" s="164">
        <f>'[18]Table 4 Level 3'!P27</f>
        <v>496.36</v>
      </c>
      <c r="J27" s="164">
        <f t="shared" si="7"/>
        <v>3349.8266884361369</v>
      </c>
      <c r="K27" s="165">
        <f t="shared" si="3"/>
        <v>-13399.306753744548</v>
      </c>
      <c r="L27" s="178">
        <f t="shared" si="4"/>
        <v>0</v>
      </c>
      <c r="M27" s="178">
        <f t="shared" si="5"/>
        <v>-13399.306753744548</v>
      </c>
    </row>
    <row r="28" spans="1:13" ht="14.25" hidden="1">
      <c r="A28" s="160">
        <v>23</v>
      </c>
      <c r="B28" s="161" t="s">
        <v>185</v>
      </c>
      <c r="C28" s="166">
        <f>'[17]10.1.13 ALL'!C28</f>
        <v>13615</v>
      </c>
      <c r="D28" s="166">
        <f>'[17]2.1.14 ALL'!C28</f>
        <v>13494</v>
      </c>
      <c r="E28" s="163">
        <f t="shared" si="6"/>
        <v>-121</v>
      </c>
      <c r="F28" s="163">
        <f t="shared" si="1"/>
        <v>0</v>
      </c>
      <c r="G28" s="163">
        <f t="shared" si="2"/>
        <v>-121</v>
      </c>
      <c r="H28" s="167">
        <f>'[18]Table 3 Levels 1&amp;2'!AL30</f>
        <v>4846.0802490067681</v>
      </c>
      <c r="I28" s="167">
        <f>'[18]Table 4 Level 3'!P28</f>
        <v>688.58</v>
      </c>
      <c r="J28" s="167">
        <f t="shared" si="7"/>
        <v>2767.330124503384</v>
      </c>
      <c r="K28" s="165">
        <f t="shared" si="3"/>
        <v>-334846.94506490947</v>
      </c>
      <c r="L28" s="178">
        <f t="shared" si="4"/>
        <v>0</v>
      </c>
      <c r="M28" s="178">
        <f t="shared" si="5"/>
        <v>-334846.94506490947</v>
      </c>
    </row>
    <row r="29" spans="1:13" ht="14.25" hidden="1">
      <c r="A29" s="160">
        <v>24</v>
      </c>
      <c r="B29" s="161" t="s">
        <v>186</v>
      </c>
      <c r="C29" s="166">
        <f>'[17]10.1.13 ALL'!C29</f>
        <v>4571</v>
      </c>
      <c r="D29" s="166">
        <f>'[17]2.1.14 ALL'!C29</f>
        <v>4566</v>
      </c>
      <c r="E29" s="163">
        <f t="shared" si="6"/>
        <v>-5</v>
      </c>
      <c r="F29" s="163">
        <f t="shared" si="1"/>
        <v>0</v>
      </c>
      <c r="G29" s="163">
        <f t="shared" si="2"/>
        <v>-5</v>
      </c>
      <c r="H29" s="167">
        <f>'[18]Table 3 Levels 1&amp;2'!AL31</f>
        <v>2764.1216755319151</v>
      </c>
      <c r="I29" s="167">
        <f>'[18]Table 4 Level 3'!P29</f>
        <v>854.24999999999989</v>
      </c>
      <c r="J29" s="167">
        <f t="shared" si="7"/>
        <v>1809.1858377659576</v>
      </c>
      <c r="K29" s="165">
        <f t="shared" si="3"/>
        <v>-9045.9291888297885</v>
      </c>
      <c r="L29" s="178">
        <f t="shared" si="4"/>
        <v>0</v>
      </c>
      <c r="M29" s="178">
        <f t="shared" si="5"/>
        <v>-9045.9291888297885</v>
      </c>
    </row>
    <row r="30" spans="1:13" ht="14.25" hidden="1">
      <c r="A30" s="168">
        <v>25</v>
      </c>
      <c r="B30" s="169" t="s">
        <v>187</v>
      </c>
      <c r="C30" s="170">
        <f>'[17]10.1.13 ALL'!C30</f>
        <v>2276</v>
      </c>
      <c r="D30" s="170">
        <f>'[17]2.1.14 ALL'!C30</f>
        <v>2285</v>
      </c>
      <c r="E30" s="172">
        <f t="shared" si="6"/>
        <v>9</v>
      </c>
      <c r="F30" s="172">
        <f t="shared" si="1"/>
        <v>9</v>
      </c>
      <c r="G30" s="172">
        <f t="shared" si="2"/>
        <v>0</v>
      </c>
      <c r="H30" s="174">
        <f>'[18]Table 3 Levels 1&amp;2'!AL32</f>
        <v>3867.4480692053257</v>
      </c>
      <c r="I30" s="174">
        <f>'[18]Table 4 Level 3'!P30</f>
        <v>653.73</v>
      </c>
      <c r="J30" s="174">
        <f t="shared" si="7"/>
        <v>2260.5890346026627</v>
      </c>
      <c r="K30" s="175">
        <f t="shared" si="3"/>
        <v>20345.301311423966</v>
      </c>
      <c r="L30" s="179">
        <f t="shared" si="4"/>
        <v>20345.301311423966</v>
      </c>
      <c r="M30" s="179">
        <f t="shared" si="5"/>
        <v>0</v>
      </c>
    </row>
    <row r="31" spans="1:13" ht="14.25" hidden="1">
      <c r="A31" s="160">
        <v>26</v>
      </c>
      <c r="B31" s="161" t="s">
        <v>188</v>
      </c>
      <c r="C31" s="162">
        <f>'[17]10.1.13 ALL'!C31</f>
        <v>44610</v>
      </c>
      <c r="D31" s="166">
        <f>'[17]2.1.14 ALL'!C31</f>
        <v>44749</v>
      </c>
      <c r="E31" s="163">
        <f t="shared" si="6"/>
        <v>139</v>
      </c>
      <c r="F31" s="163">
        <f t="shared" si="1"/>
        <v>139</v>
      </c>
      <c r="G31" s="163">
        <f t="shared" si="2"/>
        <v>0</v>
      </c>
      <c r="H31" s="164">
        <f>'[18]Table 3 Levels 1&amp;2'!AL33</f>
        <v>3293.481526790355</v>
      </c>
      <c r="I31" s="164">
        <f>'[18]Table 4 Level 3'!P31</f>
        <v>836.83</v>
      </c>
      <c r="J31" s="164">
        <f t="shared" si="7"/>
        <v>2065.1557633951775</v>
      </c>
      <c r="K31" s="165">
        <f t="shared" si="3"/>
        <v>287056.65111192968</v>
      </c>
      <c r="L31" s="178">
        <f t="shared" si="4"/>
        <v>287056.65111192968</v>
      </c>
      <c r="M31" s="178">
        <f t="shared" si="5"/>
        <v>0</v>
      </c>
    </row>
    <row r="32" spans="1:13" ht="14.25" hidden="1">
      <c r="A32" s="160">
        <v>27</v>
      </c>
      <c r="B32" s="161" t="s">
        <v>189</v>
      </c>
      <c r="C32" s="162">
        <f>'[17]10.1.13 ALL'!C32</f>
        <v>5630</v>
      </c>
      <c r="D32" s="166">
        <f>'[17]2.1.14 ALL'!C32</f>
        <v>5620</v>
      </c>
      <c r="E32" s="163">
        <f t="shared" si="6"/>
        <v>-10</v>
      </c>
      <c r="F32" s="163">
        <f t="shared" si="1"/>
        <v>0</v>
      </c>
      <c r="G32" s="163">
        <f t="shared" si="2"/>
        <v>-10</v>
      </c>
      <c r="H32" s="164">
        <f>'[18]Table 3 Levels 1&amp;2'!AL34</f>
        <v>5680.7727517381973</v>
      </c>
      <c r="I32" s="164">
        <f>'[18]Table 4 Level 3'!P32</f>
        <v>693.06</v>
      </c>
      <c r="J32" s="164">
        <f t="shared" si="7"/>
        <v>3186.9163758690984</v>
      </c>
      <c r="K32" s="165">
        <f t="shared" si="3"/>
        <v>-31869.163758690986</v>
      </c>
      <c r="L32" s="178">
        <f t="shared" si="4"/>
        <v>0</v>
      </c>
      <c r="M32" s="178">
        <f t="shared" si="5"/>
        <v>-31869.163758690986</v>
      </c>
    </row>
    <row r="33" spans="1:13" ht="14.25" hidden="1">
      <c r="A33" s="160">
        <v>28</v>
      </c>
      <c r="B33" s="161" t="s">
        <v>190</v>
      </c>
      <c r="C33" s="166">
        <f>'[17]10.1.13 ALL'!C33</f>
        <v>30216</v>
      </c>
      <c r="D33" s="166">
        <f>'[17]2.1.14 ALL'!C33</f>
        <v>30064</v>
      </c>
      <c r="E33" s="163">
        <f t="shared" si="6"/>
        <v>-152</v>
      </c>
      <c r="F33" s="163">
        <f t="shared" si="1"/>
        <v>0</v>
      </c>
      <c r="G33" s="163">
        <f t="shared" si="2"/>
        <v>-152</v>
      </c>
      <c r="H33" s="167">
        <f>'[18]Table 3 Levels 1&amp;2'!AL35</f>
        <v>3163.1694438483169</v>
      </c>
      <c r="I33" s="167">
        <f>'[18]Table 4 Level 3'!P33</f>
        <v>694.4</v>
      </c>
      <c r="J33" s="167">
        <f t="shared" si="7"/>
        <v>1928.7847219241585</v>
      </c>
      <c r="K33" s="165">
        <f t="shared" si="3"/>
        <v>-293175.27773247211</v>
      </c>
      <c r="L33" s="178">
        <f t="shared" si="4"/>
        <v>0</v>
      </c>
      <c r="M33" s="178">
        <f t="shared" si="5"/>
        <v>-293175.27773247211</v>
      </c>
    </row>
    <row r="34" spans="1:13" ht="14.25" hidden="1">
      <c r="A34" s="160">
        <v>29</v>
      </c>
      <c r="B34" s="161" t="s">
        <v>191</v>
      </c>
      <c r="C34" s="166">
        <f>'[17]10.1.13 ALL'!C34</f>
        <v>13923</v>
      </c>
      <c r="D34" s="166">
        <f>'[17]2.1.14 ALL'!C34</f>
        <v>13810</v>
      </c>
      <c r="E34" s="163">
        <f t="shared" si="6"/>
        <v>-113</v>
      </c>
      <c r="F34" s="163">
        <f t="shared" si="1"/>
        <v>0</v>
      </c>
      <c r="G34" s="163">
        <f t="shared" si="2"/>
        <v>-113</v>
      </c>
      <c r="H34" s="167">
        <f>'[18]Table 3 Levels 1&amp;2'!AL36</f>
        <v>3952.5586133052648</v>
      </c>
      <c r="I34" s="167">
        <f>'[18]Table 4 Level 3'!P34</f>
        <v>754.94999999999993</v>
      </c>
      <c r="J34" s="167">
        <f t="shared" si="7"/>
        <v>2353.7543066526323</v>
      </c>
      <c r="K34" s="165">
        <f t="shared" si="3"/>
        <v>-265974.23665174743</v>
      </c>
      <c r="L34" s="178">
        <f t="shared" si="4"/>
        <v>0</v>
      </c>
      <c r="M34" s="178">
        <f t="shared" si="5"/>
        <v>-265974.23665174743</v>
      </c>
    </row>
    <row r="35" spans="1:13" ht="14.25" hidden="1">
      <c r="A35" s="168">
        <v>30</v>
      </c>
      <c r="B35" s="169" t="s">
        <v>192</v>
      </c>
      <c r="C35" s="170">
        <f>'[17]10.1.13 ALL'!C35</f>
        <v>2503</v>
      </c>
      <c r="D35" s="170">
        <f>'[17]2.1.14 ALL'!C35</f>
        <v>2460</v>
      </c>
      <c r="E35" s="172">
        <f t="shared" si="6"/>
        <v>-43</v>
      </c>
      <c r="F35" s="172">
        <f t="shared" si="1"/>
        <v>0</v>
      </c>
      <c r="G35" s="172">
        <f t="shared" si="2"/>
        <v>-43</v>
      </c>
      <c r="H35" s="174">
        <f>'[18]Table 3 Levels 1&amp;2'!AL37</f>
        <v>5648.6510465852989</v>
      </c>
      <c r="I35" s="174">
        <f>'[18]Table 4 Level 3'!P35</f>
        <v>727.17</v>
      </c>
      <c r="J35" s="174">
        <f t="shared" si="7"/>
        <v>3187.9105232926495</v>
      </c>
      <c r="K35" s="175">
        <f t="shared" si="3"/>
        <v>-137080.15250158391</v>
      </c>
      <c r="L35" s="179">
        <f t="shared" si="4"/>
        <v>0</v>
      </c>
      <c r="M35" s="179">
        <f t="shared" si="5"/>
        <v>-137080.15250158391</v>
      </c>
    </row>
    <row r="36" spans="1:13" ht="14.25" hidden="1">
      <c r="A36" s="160">
        <v>31</v>
      </c>
      <c r="B36" s="161" t="s">
        <v>193</v>
      </c>
      <c r="C36" s="162">
        <f>'[17]10.1.13 ALL'!C36</f>
        <v>6387</v>
      </c>
      <c r="D36" s="166">
        <f>'[17]2.1.14 ALL'!C36</f>
        <v>6354</v>
      </c>
      <c r="E36" s="163">
        <f t="shared" si="6"/>
        <v>-33</v>
      </c>
      <c r="F36" s="163">
        <f t="shared" si="1"/>
        <v>0</v>
      </c>
      <c r="G36" s="163">
        <f t="shared" si="2"/>
        <v>-33</v>
      </c>
      <c r="H36" s="164">
        <f>'[18]Table 3 Levels 1&amp;2'!AL38</f>
        <v>4348.9307899232972</v>
      </c>
      <c r="I36" s="164">
        <f>'[18]Table 4 Level 3'!P36</f>
        <v>620.83000000000004</v>
      </c>
      <c r="J36" s="164">
        <f t="shared" si="7"/>
        <v>2484.8803949616486</v>
      </c>
      <c r="K36" s="165">
        <f t="shared" si="3"/>
        <v>-82001.05303373441</v>
      </c>
      <c r="L36" s="178">
        <f t="shared" si="4"/>
        <v>0</v>
      </c>
      <c r="M36" s="178">
        <f t="shared" si="5"/>
        <v>-82001.05303373441</v>
      </c>
    </row>
    <row r="37" spans="1:13" ht="14.25" hidden="1">
      <c r="A37" s="160">
        <v>32</v>
      </c>
      <c r="B37" s="161" t="s">
        <v>194</v>
      </c>
      <c r="C37" s="162">
        <f>'[17]10.1.13 ALL'!C37</f>
        <v>25191</v>
      </c>
      <c r="D37" s="166">
        <f>'[17]2.1.14 ALL'!C37</f>
        <v>25019</v>
      </c>
      <c r="E37" s="163">
        <f t="shared" si="6"/>
        <v>-172</v>
      </c>
      <c r="F37" s="163">
        <f t="shared" si="1"/>
        <v>0</v>
      </c>
      <c r="G37" s="163">
        <f t="shared" si="2"/>
        <v>-172</v>
      </c>
      <c r="H37" s="164">
        <f>'[18]Table 3 Levels 1&amp;2'!AL39</f>
        <v>5531.5157655456787</v>
      </c>
      <c r="I37" s="164">
        <f>'[18]Table 4 Level 3'!P37</f>
        <v>559.77</v>
      </c>
      <c r="J37" s="164">
        <f t="shared" si="7"/>
        <v>3045.6428827728396</v>
      </c>
      <c r="K37" s="165">
        <f t="shared" si="3"/>
        <v>-523850.57583692839</v>
      </c>
      <c r="L37" s="178">
        <f t="shared" si="4"/>
        <v>0</v>
      </c>
      <c r="M37" s="178">
        <f t="shared" si="5"/>
        <v>-523850.57583692839</v>
      </c>
    </row>
    <row r="38" spans="1:13" ht="14.25" hidden="1">
      <c r="A38" s="160">
        <v>33</v>
      </c>
      <c r="B38" s="161" t="s">
        <v>195</v>
      </c>
      <c r="C38" s="166">
        <f>'[17]10.1.13 ALL'!C38</f>
        <v>1428</v>
      </c>
      <c r="D38" s="166">
        <f>'[17]2.1.14 ALL'!C38</f>
        <v>1417</v>
      </c>
      <c r="E38" s="163">
        <f t="shared" si="6"/>
        <v>-11</v>
      </c>
      <c r="F38" s="163">
        <f t="shared" si="1"/>
        <v>0</v>
      </c>
      <c r="G38" s="163">
        <f t="shared" si="2"/>
        <v>-11</v>
      </c>
      <c r="H38" s="167">
        <f>'[18]Table 3 Levels 1&amp;2'!AL40</f>
        <v>5329.5444226517857</v>
      </c>
      <c r="I38" s="167">
        <f>'[18]Table 4 Level 3'!P38</f>
        <v>655.31000000000006</v>
      </c>
      <c r="J38" s="167">
        <f t="shared" si="7"/>
        <v>2992.427211325893</v>
      </c>
      <c r="K38" s="165">
        <f t="shared" si="3"/>
        <v>-32916.699324584821</v>
      </c>
      <c r="L38" s="178">
        <f t="shared" si="4"/>
        <v>0</v>
      </c>
      <c r="M38" s="178">
        <f t="shared" si="5"/>
        <v>-32916.699324584821</v>
      </c>
    </row>
    <row r="39" spans="1:13" ht="14.25" hidden="1">
      <c r="A39" s="160">
        <v>34</v>
      </c>
      <c r="B39" s="161" t="s">
        <v>196</v>
      </c>
      <c r="C39" s="166">
        <f>'[17]10.1.13 ALL'!C39</f>
        <v>4410</v>
      </c>
      <c r="D39" s="166">
        <f>'[17]2.1.14 ALL'!C39</f>
        <v>4375</v>
      </c>
      <c r="E39" s="163">
        <f t="shared" si="6"/>
        <v>-35</v>
      </c>
      <c r="F39" s="163">
        <f t="shared" si="1"/>
        <v>0</v>
      </c>
      <c r="G39" s="163">
        <f t="shared" si="2"/>
        <v>-35</v>
      </c>
      <c r="H39" s="167">
        <f>'[18]Table 3 Levels 1&amp;2'!AL41</f>
        <v>6003.632932007491</v>
      </c>
      <c r="I39" s="167">
        <f>'[18]Table 4 Level 3'!P39</f>
        <v>644.11000000000013</v>
      </c>
      <c r="J39" s="167">
        <f t="shared" si="7"/>
        <v>3323.8714660037458</v>
      </c>
      <c r="K39" s="165">
        <f t="shared" si="3"/>
        <v>-116335.50131013111</v>
      </c>
      <c r="L39" s="178">
        <f t="shared" si="4"/>
        <v>0</v>
      </c>
      <c r="M39" s="178">
        <f t="shared" si="5"/>
        <v>-116335.50131013111</v>
      </c>
    </row>
    <row r="40" spans="1:13" ht="14.25" hidden="1">
      <c r="A40" s="168">
        <v>35</v>
      </c>
      <c r="B40" s="169" t="s">
        <v>197</v>
      </c>
      <c r="C40" s="170">
        <f>'[17]10.1.13 ALL'!C40</f>
        <v>6451</v>
      </c>
      <c r="D40" s="170">
        <f>'[17]2.1.14 ALL'!C40</f>
        <v>6370</v>
      </c>
      <c r="E40" s="172">
        <f t="shared" si="6"/>
        <v>-81</v>
      </c>
      <c r="F40" s="172">
        <f t="shared" si="1"/>
        <v>0</v>
      </c>
      <c r="G40" s="172">
        <f t="shared" si="2"/>
        <v>-81</v>
      </c>
      <c r="H40" s="174">
        <f>'[18]Table 3 Levels 1&amp;2'!AL42</f>
        <v>4607.1606416222867</v>
      </c>
      <c r="I40" s="174">
        <f>'[18]Table 4 Level 3'!P40</f>
        <v>537.96</v>
      </c>
      <c r="J40" s="174">
        <f t="shared" si="7"/>
        <v>2572.5603208111434</v>
      </c>
      <c r="K40" s="175">
        <f t="shared" si="3"/>
        <v>-208377.38598570263</v>
      </c>
      <c r="L40" s="179">
        <f t="shared" si="4"/>
        <v>0</v>
      </c>
      <c r="M40" s="179">
        <f t="shared" si="5"/>
        <v>-208377.38598570263</v>
      </c>
    </row>
    <row r="41" spans="1:13" ht="14.25" hidden="1">
      <c r="A41" s="160">
        <v>36</v>
      </c>
      <c r="B41" s="161" t="s">
        <v>198</v>
      </c>
      <c r="C41" s="166">
        <f>'[17]10.1.13 ALL'!C41</f>
        <v>12139</v>
      </c>
      <c r="D41" s="176">
        <f>'[17]2.1.14 ALL'!C41</f>
        <v>12073</v>
      </c>
      <c r="E41" s="163">
        <f t="shared" si="6"/>
        <v>-66</v>
      </c>
      <c r="F41" s="163">
        <f t="shared" si="1"/>
        <v>0</v>
      </c>
      <c r="G41" s="163">
        <f t="shared" si="2"/>
        <v>-66</v>
      </c>
      <c r="H41" s="177">
        <f>'[18]Table 3 Levels 1&amp;2'!AL43</f>
        <v>3520.4894337711748</v>
      </c>
      <c r="I41" s="181">
        <f>'[18]Table 4 Level 3'!P41</f>
        <v>727.23177743956114</v>
      </c>
      <c r="J41" s="167">
        <f t="shared" si="7"/>
        <v>2123.8606056053682</v>
      </c>
      <c r="K41" s="165">
        <f t="shared" si="3"/>
        <v>-140174.7999699543</v>
      </c>
      <c r="L41" s="178">
        <f t="shared" si="4"/>
        <v>0</v>
      </c>
      <c r="M41" s="178">
        <f t="shared" si="5"/>
        <v>-140174.7999699543</v>
      </c>
    </row>
    <row r="42" spans="1:13" ht="14.25" hidden="1">
      <c r="A42" s="160">
        <v>37</v>
      </c>
      <c r="B42" s="161" t="s">
        <v>199</v>
      </c>
      <c r="C42" s="162">
        <f>'[17]10.1.13 ALL'!C42</f>
        <v>19511</v>
      </c>
      <c r="D42" s="162">
        <f>'[17]2.1.14 ALL'!C42</f>
        <v>19389</v>
      </c>
      <c r="E42" s="163">
        <f t="shared" si="6"/>
        <v>-122</v>
      </c>
      <c r="F42" s="163">
        <f t="shared" si="1"/>
        <v>0</v>
      </c>
      <c r="G42" s="163">
        <f t="shared" si="2"/>
        <v>-122</v>
      </c>
      <c r="H42" s="164">
        <f>'[18]Table 3 Levels 1&amp;2'!AL44</f>
        <v>5503.7595641818853</v>
      </c>
      <c r="I42" s="164">
        <f>'[18]Table 4 Level 3'!P42</f>
        <v>653.61</v>
      </c>
      <c r="J42" s="164">
        <f t="shared" si="7"/>
        <v>3078.6847820909425</v>
      </c>
      <c r="K42" s="165">
        <f t="shared" si="3"/>
        <v>-375599.54341509496</v>
      </c>
      <c r="L42" s="178">
        <f t="shared" si="4"/>
        <v>0</v>
      </c>
      <c r="M42" s="178">
        <f t="shared" si="5"/>
        <v>-375599.54341509496</v>
      </c>
    </row>
    <row r="43" spans="1:13" ht="14.25" hidden="1">
      <c r="A43" s="160">
        <v>38</v>
      </c>
      <c r="B43" s="161" t="s">
        <v>200</v>
      </c>
      <c r="C43" s="166">
        <f>'[17]10.1.13 ALL'!C43</f>
        <v>3866</v>
      </c>
      <c r="D43" s="162">
        <f>'[17]2.1.14 ALL'!C43</f>
        <v>3851</v>
      </c>
      <c r="E43" s="163">
        <f t="shared" si="6"/>
        <v>-15</v>
      </c>
      <c r="F43" s="163">
        <f t="shared" si="1"/>
        <v>0</v>
      </c>
      <c r="G43" s="163">
        <f t="shared" si="2"/>
        <v>-15</v>
      </c>
      <c r="H43" s="164">
        <f>'[18]Table 3 Levels 1&amp;2'!AL45</f>
        <v>2192.7545275590551</v>
      </c>
      <c r="I43" s="164">
        <f>'[18]Table 4 Level 3'!P43</f>
        <v>829.92000000000007</v>
      </c>
      <c r="J43" s="167">
        <f t="shared" si="7"/>
        <v>1511.3372637795276</v>
      </c>
      <c r="K43" s="165">
        <f t="shared" si="3"/>
        <v>-22670.058956692912</v>
      </c>
      <c r="L43" s="178">
        <f t="shared" si="4"/>
        <v>0</v>
      </c>
      <c r="M43" s="178">
        <f t="shared" si="5"/>
        <v>-22670.058956692912</v>
      </c>
    </row>
    <row r="44" spans="1:13" ht="14.25" hidden="1">
      <c r="A44" s="160">
        <v>39</v>
      </c>
      <c r="B44" s="161" t="s">
        <v>201</v>
      </c>
      <c r="C44" s="166">
        <f>'[17]10.1.13 ALL'!C44</f>
        <v>2605</v>
      </c>
      <c r="D44" s="176">
        <f>'[17]2.1.14 ALL'!C44</f>
        <v>2600</v>
      </c>
      <c r="E44" s="163">
        <f t="shared" si="6"/>
        <v>-5</v>
      </c>
      <c r="F44" s="163">
        <f t="shared" si="1"/>
        <v>0</v>
      </c>
      <c r="G44" s="163">
        <f t="shared" si="2"/>
        <v>-5</v>
      </c>
      <c r="H44" s="177">
        <f>'[18]Table 3 Levels 1&amp;2'!AL46</f>
        <v>3639.9942778062696</v>
      </c>
      <c r="I44" s="177">
        <f>'[18]Table 4 Level 3'!P44</f>
        <v>779.65573042776441</v>
      </c>
      <c r="J44" s="167">
        <f t="shared" si="7"/>
        <v>2209.8250041170168</v>
      </c>
      <c r="K44" s="165">
        <f t="shared" si="3"/>
        <v>-11049.125020585085</v>
      </c>
      <c r="L44" s="178">
        <f t="shared" si="4"/>
        <v>0</v>
      </c>
      <c r="M44" s="178">
        <f t="shared" si="5"/>
        <v>-11049.125020585085</v>
      </c>
    </row>
    <row r="45" spans="1:13" ht="14.25" hidden="1">
      <c r="A45" s="168">
        <v>40</v>
      </c>
      <c r="B45" s="169" t="s">
        <v>202</v>
      </c>
      <c r="C45" s="170">
        <f>'[17]10.1.13 ALL'!C45</f>
        <v>23139</v>
      </c>
      <c r="D45" s="170">
        <f>'[17]2.1.14 ALL'!C45</f>
        <v>22930</v>
      </c>
      <c r="E45" s="172">
        <f t="shared" si="6"/>
        <v>-209</v>
      </c>
      <c r="F45" s="172">
        <f t="shared" si="1"/>
        <v>0</v>
      </c>
      <c r="G45" s="172">
        <f t="shared" si="2"/>
        <v>-209</v>
      </c>
      <c r="H45" s="174">
        <f>'[18]Table 3 Levels 1&amp;2'!AL47</f>
        <v>4928.4974462701202</v>
      </c>
      <c r="I45" s="174">
        <f>'[18]Table 4 Level 3'!P45</f>
        <v>700.2700000000001</v>
      </c>
      <c r="J45" s="174">
        <f t="shared" si="7"/>
        <v>2814.3837231350603</v>
      </c>
      <c r="K45" s="175">
        <f t="shared" si="3"/>
        <v>-588206.19813522766</v>
      </c>
      <c r="L45" s="179">
        <f t="shared" si="4"/>
        <v>0</v>
      </c>
      <c r="M45" s="179">
        <f t="shared" si="5"/>
        <v>-588206.19813522766</v>
      </c>
    </row>
    <row r="46" spans="1:13" ht="14.25" hidden="1">
      <c r="A46" s="160">
        <v>41</v>
      </c>
      <c r="B46" s="161" t="s">
        <v>203</v>
      </c>
      <c r="C46" s="162">
        <f>'[17]10.1.13 ALL'!C46</f>
        <v>1451</v>
      </c>
      <c r="D46" s="166">
        <f>'[17]2.1.14 ALL'!C46</f>
        <v>1451</v>
      </c>
      <c r="E46" s="163">
        <f t="shared" si="6"/>
        <v>0</v>
      </c>
      <c r="F46" s="163">
        <f t="shared" si="1"/>
        <v>0</v>
      </c>
      <c r="G46" s="163">
        <f t="shared" si="2"/>
        <v>0</v>
      </c>
      <c r="H46" s="164">
        <f>'[18]Table 3 Levels 1&amp;2'!AL48</f>
        <v>1615.6013465627216</v>
      </c>
      <c r="I46" s="164">
        <f>'[18]Table 4 Level 3'!P46</f>
        <v>886.22</v>
      </c>
      <c r="J46" s="164">
        <f t="shared" si="7"/>
        <v>1250.9106732813607</v>
      </c>
      <c r="K46" s="165">
        <f t="shared" si="3"/>
        <v>0</v>
      </c>
      <c r="L46" s="178">
        <f t="shared" si="4"/>
        <v>0</v>
      </c>
      <c r="M46" s="178">
        <f t="shared" si="5"/>
        <v>0</v>
      </c>
    </row>
    <row r="47" spans="1:13" ht="14.25" hidden="1">
      <c r="A47" s="160">
        <v>42</v>
      </c>
      <c r="B47" s="161" t="s">
        <v>204</v>
      </c>
      <c r="C47" s="162">
        <f>'[17]10.1.13 ALL'!C47</f>
        <v>3276</v>
      </c>
      <c r="D47" s="166">
        <f>'[17]2.1.14 ALL'!C47</f>
        <v>3234</v>
      </c>
      <c r="E47" s="163">
        <f t="shared" si="6"/>
        <v>-42</v>
      </c>
      <c r="F47" s="163">
        <f t="shared" si="1"/>
        <v>0</v>
      </c>
      <c r="G47" s="163">
        <f t="shared" si="2"/>
        <v>-42</v>
      </c>
      <c r="H47" s="164">
        <f>'[18]Table 3 Levels 1&amp;2'!AL49</f>
        <v>5087.4730460987803</v>
      </c>
      <c r="I47" s="164">
        <f>'[18]Table 4 Level 3'!P47</f>
        <v>534.28</v>
      </c>
      <c r="J47" s="164">
        <f t="shared" si="7"/>
        <v>2810.87652304939</v>
      </c>
      <c r="K47" s="165">
        <f t="shared" si="3"/>
        <v>-118056.81396807438</v>
      </c>
      <c r="L47" s="178">
        <f t="shared" si="4"/>
        <v>0</v>
      </c>
      <c r="M47" s="178">
        <f t="shared" si="5"/>
        <v>-118056.81396807438</v>
      </c>
    </row>
    <row r="48" spans="1:13" ht="14.25" hidden="1">
      <c r="A48" s="160">
        <v>43</v>
      </c>
      <c r="B48" s="161" t="s">
        <v>205</v>
      </c>
      <c r="C48" s="166">
        <f>'[17]10.1.13 ALL'!C48</f>
        <v>4092</v>
      </c>
      <c r="D48" s="166">
        <f>'[17]2.1.14 ALL'!C48</f>
        <v>4095</v>
      </c>
      <c r="E48" s="163">
        <f t="shared" si="6"/>
        <v>3</v>
      </c>
      <c r="F48" s="163">
        <f t="shared" si="1"/>
        <v>3</v>
      </c>
      <c r="G48" s="163">
        <f t="shared" si="2"/>
        <v>0</v>
      </c>
      <c r="H48" s="167">
        <f>'[18]Table 3 Levels 1&amp;2'!AL50</f>
        <v>4717.8414352725031</v>
      </c>
      <c r="I48" s="167">
        <f>'[18]Table 4 Level 3'!P48</f>
        <v>574.6099999999999</v>
      </c>
      <c r="J48" s="167">
        <f t="shared" si="7"/>
        <v>2646.2257176362514</v>
      </c>
      <c r="K48" s="165">
        <f t="shared" si="3"/>
        <v>7938.6771529087546</v>
      </c>
      <c r="L48" s="178">
        <f t="shared" si="4"/>
        <v>7938.6771529087546</v>
      </c>
      <c r="M48" s="178">
        <f t="shared" si="5"/>
        <v>0</v>
      </c>
    </row>
    <row r="49" spans="1:13" ht="14.25" hidden="1">
      <c r="A49" s="160">
        <v>44</v>
      </c>
      <c r="B49" s="161" t="s">
        <v>206</v>
      </c>
      <c r="C49" s="166">
        <f>'[17]10.1.13 ALL'!C49</f>
        <v>6709</v>
      </c>
      <c r="D49" s="166">
        <f>'[17]2.1.14 ALL'!C49</f>
        <v>6651</v>
      </c>
      <c r="E49" s="163">
        <f t="shared" si="6"/>
        <v>-58</v>
      </c>
      <c r="F49" s="163">
        <f t="shared" si="1"/>
        <v>0</v>
      </c>
      <c r="G49" s="163">
        <f t="shared" si="2"/>
        <v>-58</v>
      </c>
      <c r="H49" s="167">
        <f>'[18]Table 3 Levels 1&amp;2'!AL51</f>
        <v>4696.6221228259064</v>
      </c>
      <c r="I49" s="167">
        <f>'[18]Table 4 Level 3'!P49</f>
        <v>663.16000000000008</v>
      </c>
      <c r="J49" s="167">
        <f t="shared" si="7"/>
        <v>2679.8910614129531</v>
      </c>
      <c r="K49" s="165">
        <f t="shared" si="3"/>
        <v>-155433.68156195129</v>
      </c>
      <c r="L49" s="178">
        <f t="shared" si="4"/>
        <v>0</v>
      </c>
      <c r="M49" s="178">
        <f t="shared" si="5"/>
        <v>-155433.68156195129</v>
      </c>
    </row>
    <row r="50" spans="1:13" ht="14.25" hidden="1">
      <c r="A50" s="168">
        <v>45</v>
      </c>
      <c r="B50" s="169" t="s">
        <v>207</v>
      </c>
      <c r="C50" s="170">
        <f>'[17]10.1.13 ALL'!C50</f>
        <v>9406</v>
      </c>
      <c r="D50" s="170">
        <f>'[17]2.1.14 ALL'!C50</f>
        <v>9391</v>
      </c>
      <c r="E50" s="172">
        <f t="shared" si="6"/>
        <v>-15</v>
      </c>
      <c r="F50" s="172">
        <f t="shared" si="1"/>
        <v>0</v>
      </c>
      <c r="G50" s="172">
        <f t="shared" si="2"/>
        <v>-15</v>
      </c>
      <c r="H50" s="174">
        <f>'[18]Table 3 Levels 1&amp;2'!AL52</f>
        <v>2192.4914538932262</v>
      </c>
      <c r="I50" s="174">
        <f>'[18]Table 4 Level 3'!P50</f>
        <v>753.96000000000015</v>
      </c>
      <c r="J50" s="174">
        <f t="shared" si="7"/>
        <v>1473.2257269466131</v>
      </c>
      <c r="K50" s="175">
        <f t="shared" si="3"/>
        <v>-22098.385904199196</v>
      </c>
      <c r="L50" s="179">
        <f t="shared" si="4"/>
        <v>0</v>
      </c>
      <c r="M50" s="179">
        <f t="shared" si="5"/>
        <v>-22098.385904199196</v>
      </c>
    </row>
    <row r="51" spans="1:13" ht="14.25" hidden="1">
      <c r="A51" s="160">
        <v>46</v>
      </c>
      <c r="B51" s="161" t="s">
        <v>208</v>
      </c>
      <c r="C51" s="162">
        <f>'[17]10.1.13 ALL'!C51</f>
        <v>730</v>
      </c>
      <c r="D51" s="176">
        <f>'[17]2.1.14 ALL'!C51</f>
        <v>718</v>
      </c>
      <c r="E51" s="163">
        <f t="shared" si="6"/>
        <v>-12</v>
      </c>
      <c r="F51" s="163">
        <f t="shared" si="1"/>
        <v>0</v>
      </c>
      <c r="G51" s="163">
        <f t="shared" si="2"/>
        <v>-12</v>
      </c>
      <c r="H51" s="177">
        <f>'[18]Table 3 Levels 1&amp;2'!AL53</f>
        <v>5644.6599115241634</v>
      </c>
      <c r="I51" s="177">
        <f>'[18]Table 4 Level 3'!P51</f>
        <v>728.06</v>
      </c>
      <c r="J51" s="164">
        <f t="shared" si="7"/>
        <v>3186.3599557620819</v>
      </c>
      <c r="K51" s="165">
        <f t="shared" si="3"/>
        <v>-38236.319469144983</v>
      </c>
      <c r="L51" s="178">
        <f t="shared" si="4"/>
        <v>0</v>
      </c>
      <c r="M51" s="178">
        <f t="shared" si="5"/>
        <v>-38236.319469144983</v>
      </c>
    </row>
    <row r="52" spans="1:13" ht="14.25" hidden="1">
      <c r="A52" s="160">
        <v>47</v>
      </c>
      <c r="B52" s="161" t="s">
        <v>209</v>
      </c>
      <c r="C52" s="162">
        <f>'[17]10.1.13 ALL'!C52</f>
        <v>3625</v>
      </c>
      <c r="D52" s="162">
        <f>'[17]2.1.14 ALL'!C52</f>
        <v>3626</v>
      </c>
      <c r="E52" s="163">
        <f t="shared" si="6"/>
        <v>1</v>
      </c>
      <c r="F52" s="163">
        <f t="shared" si="1"/>
        <v>1</v>
      </c>
      <c r="G52" s="163">
        <f t="shared" si="2"/>
        <v>0</v>
      </c>
      <c r="H52" s="164">
        <f>'[18]Table 3 Levels 1&amp;2'!AL54</f>
        <v>2731.2444076222037</v>
      </c>
      <c r="I52" s="164">
        <f>'[18]Table 4 Level 3'!P52</f>
        <v>910.76</v>
      </c>
      <c r="J52" s="164">
        <f t="shared" si="7"/>
        <v>1821.0022038111019</v>
      </c>
      <c r="K52" s="165">
        <f t="shared" si="3"/>
        <v>1821.0022038111019</v>
      </c>
      <c r="L52" s="178">
        <f t="shared" si="4"/>
        <v>1821.0022038111019</v>
      </c>
      <c r="M52" s="178">
        <f t="shared" si="5"/>
        <v>0</v>
      </c>
    </row>
    <row r="53" spans="1:13" ht="14.25" hidden="1">
      <c r="A53" s="160">
        <v>48</v>
      </c>
      <c r="B53" s="161" t="s">
        <v>210</v>
      </c>
      <c r="C53" s="166">
        <f>'[17]10.1.13 ALL'!C53</f>
        <v>5706</v>
      </c>
      <c r="D53" s="162">
        <f>'[17]2.1.14 ALL'!C53</f>
        <v>5739</v>
      </c>
      <c r="E53" s="163">
        <f t="shared" si="6"/>
        <v>33</v>
      </c>
      <c r="F53" s="163">
        <f t="shared" si="1"/>
        <v>33</v>
      </c>
      <c r="G53" s="163">
        <f t="shared" si="2"/>
        <v>0</v>
      </c>
      <c r="H53" s="167">
        <f>'[18]Table 3 Levels 1&amp;2'!AL55</f>
        <v>4272.723323083942</v>
      </c>
      <c r="I53" s="167">
        <f>'[18]Table 4 Level 3'!P53</f>
        <v>871.07</v>
      </c>
      <c r="J53" s="167">
        <f t="shared" si="7"/>
        <v>2571.8966615419708</v>
      </c>
      <c r="K53" s="165">
        <f t="shared" si="3"/>
        <v>84872.589830885045</v>
      </c>
      <c r="L53" s="178">
        <f t="shared" si="4"/>
        <v>84872.589830885045</v>
      </c>
      <c r="M53" s="178">
        <f t="shared" si="5"/>
        <v>0</v>
      </c>
    </row>
    <row r="54" spans="1:13" ht="14.25" hidden="1">
      <c r="A54" s="160">
        <v>49</v>
      </c>
      <c r="B54" s="161" t="s">
        <v>211</v>
      </c>
      <c r="C54" s="166">
        <f>'[17]10.1.13 ALL'!C54</f>
        <v>14368</v>
      </c>
      <c r="D54" s="162">
        <f>'[17]2.1.14 ALL'!C54</f>
        <v>14198</v>
      </c>
      <c r="E54" s="163">
        <f t="shared" si="6"/>
        <v>-170</v>
      </c>
      <c r="F54" s="163">
        <f t="shared" si="1"/>
        <v>0</v>
      </c>
      <c r="G54" s="163">
        <f t="shared" si="2"/>
        <v>-170</v>
      </c>
      <c r="H54" s="167">
        <f>'[18]Table 3 Levels 1&amp;2'!AL56</f>
        <v>4836.7092570332552</v>
      </c>
      <c r="I54" s="167">
        <f>'[18]Table 4 Level 3'!P54</f>
        <v>574.43999999999994</v>
      </c>
      <c r="J54" s="167">
        <f t="shared" si="7"/>
        <v>2705.5746285166274</v>
      </c>
      <c r="K54" s="165">
        <f t="shared" si="3"/>
        <v>-459947.68684782664</v>
      </c>
      <c r="L54" s="178">
        <f t="shared" si="4"/>
        <v>0</v>
      </c>
      <c r="M54" s="178">
        <f t="shared" si="5"/>
        <v>-459947.68684782664</v>
      </c>
    </row>
    <row r="55" spans="1:13" ht="13.5" hidden="1" customHeight="1">
      <c r="A55" s="168">
        <v>50</v>
      </c>
      <c r="B55" s="169" t="s">
        <v>212</v>
      </c>
      <c r="C55" s="170">
        <f>'[17]10.1.13 ALL'!C55</f>
        <v>7931</v>
      </c>
      <c r="D55" s="171">
        <f>'[17]2.1.14 ALL'!C55</f>
        <v>7891</v>
      </c>
      <c r="E55" s="172">
        <f t="shared" si="6"/>
        <v>-40</v>
      </c>
      <c r="F55" s="172">
        <f t="shared" si="1"/>
        <v>0</v>
      </c>
      <c r="G55" s="172">
        <f t="shared" si="2"/>
        <v>-40</v>
      </c>
      <c r="H55" s="174">
        <f>'[18]Table 3 Levels 1&amp;2'!AL57</f>
        <v>5032.6862895017111</v>
      </c>
      <c r="I55" s="174">
        <f>'[18]Table 4 Level 3'!P55</f>
        <v>634.46</v>
      </c>
      <c r="J55" s="174">
        <f t="shared" si="7"/>
        <v>2833.5731447508556</v>
      </c>
      <c r="K55" s="175">
        <f t="shared" si="3"/>
        <v>-113342.92579003422</v>
      </c>
      <c r="L55" s="179">
        <f t="shared" si="4"/>
        <v>0</v>
      </c>
      <c r="M55" s="179">
        <f t="shared" si="5"/>
        <v>-113342.92579003422</v>
      </c>
    </row>
    <row r="56" spans="1:13" ht="14.25" hidden="1">
      <c r="A56" s="160">
        <v>51</v>
      </c>
      <c r="B56" s="161" t="s">
        <v>213</v>
      </c>
      <c r="C56" s="162">
        <f>'[17]10.1.13 ALL'!C56</f>
        <v>9051</v>
      </c>
      <c r="D56" s="162">
        <f>'[17]2.1.14 ALL'!C56</f>
        <v>8872</v>
      </c>
      <c r="E56" s="163">
        <f t="shared" si="6"/>
        <v>-179</v>
      </c>
      <c r="F56" s="163">
        <f t="shared" si="1"/>
        <v>0</v>
      </c>
      <c r="G56" s="163">
        <f t="shared" si="2"/>
        <v>-179</v>
      </c>
      <c r="H56" s="164">
        <f>'[18]Table 3 Levels 1&amp;2'!AL58</f>
        <v>4246.0339872793602</v>
      </c>
      <c r="I56" s="164">
        <f>'[18]Table 4 Level 3'!P56</f>
        <v>706.66</v>
      </c>
      <c r="J56" s="164">
        <f t="shared" si="7"/>
        <v>2476.34699363968</v>
      </c>
      <c r="K56" s="165">
        <f t="shared" si="3"/>
        <v>-443266.11186150275</v>
      </c>
      <c r="L56" s="178">
        <f t="shared" si="4"/>
        <v>0</v>
      </c>
      <c r="M56" s="178">
        <f t="shared" si="5"/>
        <v>-443266.11186150275</v>
      </c>
    </row>
    <row r="57" spans="1:13" ht="14.25" hidden="1">
      <c r="A57" s="160">
        <v>52</v>
      </c>
      <c r="B57" s="161" t="s">
        <v>214</v>
      </c>
      <c r="C57" s="162">
        <f>'[17]10.1.13 ALL'!C57</f>
        <v>37127</v>
      </c>
      <c r="D57" s="162">
        <f>'[17]2.1.14 ALL'!C57</f>
        <v>37028</v>
      </c>
      <c r="E57" s="163">
        <f t="shared" si="6"/>
        <v>-99</v>
      </c>
      <c r="F57" s="163">
        <f t="shared" si="1"/>
        <v>0</v>
      </c>
      <c r="G57" s="163">
        <f t="shared" si="2"/>
        <v>-99</v>
      </c>
      <c r="H57" s="164">
        <f>'[18]Table 3 Levels 1&amp;2'!AL59</f>
        <v>5013.4438050113249</v>
      </c>
      <c r="I57" s="164">
        <f>'[18]Table 4 Level 3'!P57</f>
        <v>658.37</v>
      </c>
      <c r="J57" s="164">
        <f t="shared" si="7"/>
        <v>2835.9069025056624</v>
      </c>
      <c r="K57" s="165">
        <f t="shared" si="3"/>
        <v>-280754.78334806056</v>
      </c>
      <c r="L57" s="178">
        <f t="shared" si="4"/>
        <v>0</v>
      </c>
      <c r="M57" s="178">
        <f t="shared" si="5"/>
        <v>-280754.78334806056</v>
      </c>
    </row>
    <row r="58" spans="1:13" ht="14.25" hidden="1">
      <c r="A58" s="160">
        <v>53</v>
      </c>
      <c r="B58" s="161" t="s">
        <v>215</v>
      </c>
      <c r="C58" s="166">
        <f>'[17]10.1.13 ALL'!C58</f>
        <v>19393</v>
      </c>
      <c r="D58" s="162">
        <f>'[17]2.1.14 ALL'!C58</f>
        <v>19264</v>
      </c>
      <c r="E58" s="163">
        <f t="shared" si="6"/>
        <v>-129</v>
      </c>
      <c r="F58" s="163">
        <f t="shared" si="1"/>
        <v>0</v>
      </c>
      <c r="G58" s="163">
        <f t="shared" si="2"/>
        <v>-129</v>
      </c>
      <c r="H58" s="167">
        <f>'[18]Table 3 Levels 1&amp;2'!AL60</f>
        <v>4775.5877635581091</v>
      </c>
      <c r="I58" s="167">
        <f>'[18]Table 4 Level 3'!P58</f>
        <v>689.74</v>
      </c>
      <c r="J58" s="167">
        <f t="shared" si="7"/>
        <v>2732.6638817790545</v>
      </c>
      <c r="K58" s="165">
        <f t="shared" si="3"/>
        <v>-352513.64074949804</v>
      </c>
      <c r="L58" s="178">
        <f t="shared" si="4"/>
        <v>0</v>
      </c>
      <c r="M58" s="178">
        <f t="shared" si="5"/>
        <v>-352513.64074949804</v>
      </c>
    </row>
    <row r="59" spans="1:13" ht="14.25" hidden="1">
      <c r="A59" s="160">
        <v>54</v>
      </c>
      <c r="B59" s="161" t="s">
        <v>216</v>
      </c>
      <c r="C59" s="166">
        <f>'[17]10.1.13 ALL'!C59</f>
        <v>659</v>
      </c>
      <c r="D59" s="162">
        <f>'[17]2.1.14 ALL'!C59</f>
        <v>644</v>
      </c>
      <c r="E59" s="163">
        <f t="shared" si="6"/>
        <v>-15</v>
      </c>
      <c r="F59" s="163">
        <f t="shared" si="1"/>
        <v>0</v>
      </c>
      <c r="G59" s="163">
        <f t="shared" si="2"/>
        <v>-15</v>
      </c>
      <c r="H59" s="167">
        <f>'[18]Table 3 Levels 1&amp;2'!AL61</f>
        <v>5951.8009386275662</v>
      </c>
      <c r="I59" s="167">
        <f>'[18]Table 4 Level 3'!P59</f>
        <v>951.45</v>
      </c>
      <c r="J59" s="167">
        <f t="shared" si="7"/>
        <v>3451.625469313783</v>
      </c>
      <c r="K59" s="165">
        <f t="shared" si="3"/>
        <v>-51774.382039706747</v>
      </c>
      <c r="L59" s="178">
        <f t="shared" si="4"/>
        <v>0</v>
      </c>
      <c r="M59" s="178">
        <f t="shared" si="5"/>
        <v>-51774.382039706747</v>
      </c>
    </row>
    <row r="60" spans="1:13" ht="14.25" hidden="1">
      <c r="A60" s="168">
        <v>55</v>
      </c>
      <c r="B60" s="169" t="s">
        <v>217</v>
      </c>
      <c r="C60" s="170">
        <f>'[17]10.1.13 ALL'!C60</f>
        <v>17825</v>
      </c>
      <c r="D60" s="171">
        <f>'[17]2.1.14 ALL'!C60</f>
        <v>17722</v>
      </c>
      <c r="E60" s="172">
        <f t="shared" si="6"/>
        <v>-103</v>
      </c>
      <c r="F60" s="172">
        <f t="shared" si="1"/>
        <v>0</v>
      </c>
      <c r="G60" s="172">
        <f t="shared" si="2"/>
        <v>-103</v>
      </c>
      <c r="H60" s="174">
        <f>'[18]Table 3 Levels 1&amp;2'!AL62</f>
        <v>4171.0434735233157</v>
      </c>
      <c r="I60" s="174">
        <f>'[18]Table 4 Level 3'!P60</f>
        <v>795.14</v>
      </c>
      <c r="J60" s="174">
        <f t="shared" si="7"/>
        <v>2483.091736761658</v>
      </c>
      <c r="K60" s="175">
        <f t="shared" si="3"/>
        <v>-255758.44888645079</v>
      </c>
      <c r="L60" s="179">
        <f t="shared" si="4"/>
        <v>0</v>
      </c>
      <c r="M60" s="179">
        <f t="shared" si="5"/>
        <v>-255758.44888645079</v>
      </c>
    </row>
    <row r="61" spans="1:13" ht="14.25" hidden="1">
      <c r="A61" s="160">
        <v>56</v>
      </c>
      <c r="B61" s="161" t="s">
        <v>218</v>
      </c>
      <c r="C61" s="162">
        <f>'[17]10.1.13 ALL'!C61</f>
        <v>2212</v>
      </c>
      <c r="D61" s="162">
        <f>'[17]2.1.14 ALL'!C61</f>
        <v>2191</v>
      </c>
      <c r="E61" s="163">
        <f t="shared" si="6"/>
        <v>-21</v>
      </c>
      <c r="F61" s="163">
        <f t="shared" si="1"/>
        <v>0</v>
      </c>
      <c r="G61" s="163">
        <f t="shared" si="2"/>
        <v>-21</v>
      </c>
      <c r="H61" s="164">
        <f>'[18]Table 3 Levels 1&amp;2'!AL63</f>
        <v>4968.593189672727</v>
      </c>
      <c r="I61" s="164">
        <f>'[18]Table 4 Level 3'!P61</f>
        <v>614.66000000000008</v>
      </c>
      <c r="J61" s="164">
        <f t="shared" si="7"/>
        <v>2791.6265948363634</v>
      </c>
      <c r="K61" s="165">
        <f t="shared" si="3"/>
        <v>-58624.158491563634</v>
      </c>
      <c r="L61" s="178">
        <f t="shared" si="4"/>
        <v>0</v>
      </c>
      <c r="M61" s="178">
        <f t="shared" si="5"/>
        <v>-58624.158491563634</v>
      </c>
    </row>
    <row r="62" spans="1:13" ht="14.25" hidden="1">
      <c r="A62" s="160">
        <v>57</v>
      </c>
      <c r="B62" s="161" t="s">
        <v>219</v>
      </c>
      <c r="C62" s="162">
        <f>'[17]10.1.13 ALL'!C62</f>
        <v>9176</v>
      </c>
      <c r="D62" s="162">
        <f>'[17]2.1.14 ALL'!C62</f>
        <v>9095</v>
      </c>
      <c r="E62" s="163">
        <f t="shared" si="6"/>
        <v>-81</v>
      </c>
      <c r="F62" s="163">
        <f t="shared" si="1"/>
        <v>0</v>
      </c>
      <c r="G62" s="163">
        <f t="shared" si="2"/>
        <v>-81</v>
      </c>
      <c r="H62" s="164">
        <f>'[18]Table 3 Levels 1&amp;2'!AL64</f>
        <v>4485.7073020218859</v>
      </c>
      <c r="I62" s="164">
        <f>'[18]Table 4 Level 3'!P62</f>
        <v>764.51</v>
      </c>
      <c r="J62" s="164">
        <f t="shared" si="7"/>
        <v>2625.108651010943</v>
      </c>
      <c r="K62" s="165">
        <f t="shared" si="3"/>
        <v>-212633.80073188638</v>
      </c>
      <c r="L62" s="178">
        <f t="shared" si="4"/>
        <v>0</v>
      </c>
      <c r="M62" s="178">
        <f t="shared" si="5"/>
        <v>-212633.80073188638</v>
      </c>
    </row>
    <row r="63" spans="1:13" ht="14.25" hidden="1">
      <c r="A63" s="160">
        <v>58</v>
      </c>
      <c r="B63" s="161" t="s">
        <v>220</v>
      </c>
      <c r="C63" s="166">
        <f>'[17]10.1.13 ALL'!C63</f>
        <v>9071</v>
      </c>
      <c r="D63" s="162">
        <f>'[17]2.1.14 ALL'!C63</f>
        <v>8929</v>
      </c>
      <c r="E63" s="163">
        <f t="shared" si="6"/>
        <v>-142</v>
      </c>
      <c r="F63" s="163">
        <f t="shared" si="1"/>
        <v>0</v>
      </c>
      <c r="G63" s="163">
        <f t="shared" si="2"/>
        <v>-142</v>
      </c>
      <c r="H63" s="167">
        <f>'[18]Table 3 Levels 1&amp;2'!AL65</f>
        <v>5457.8662803476354</v>
      </c>
      <c r="I63" s="167">
        <f>'[18]Table 4 Level 3'!P63</f>
        <v>697.04</v>
      </c>
      <c r="J63" s="167">
        <f t="shared" si="7"/>
        <v>3077.4531401738177</v>
      </c>
      <c r="K63" s="165">
        <f t="shared" si="3"/>
        <v>-436998.34590468212</v>
      </c>
      <c r="L63" s="178">
        <f t="shared" si="4"/>
        <v>0</v>
      </c>
      <c r="M63" s="178">
        <f t="shared" si="5"/>
        <v>-436998.34590468212</v>
      </c>
    </row>
    <row r="64" spans="1:13" ht="14.25" hidden="1">
      <c r="A64" s="160">
        <v>59</v>
      </c>
      <c r="B64" s="161" t="s">
        <v>221</v>
      </c>
      <c r="C64" s="166">
        <f>'[17]10.1.13 ALL'!C64</f>
        <v>5131</v>
      </c>
      <c r="D64" s="162">
        <f>'[17]2.1.14 ALL'!C64</f>
        <v>5104</v>
      </c>
      <c r="E64" s="163">
        <f t="shared" si="6"/>
        <v>-27</v>
      </c>
      <c r="F64" s="163">
        <f t="shared" si="1"/>
        <v>0</v>
      </c>
      <c r="G64" s="163">
        <f t="shared" si="2"/>
        <v>-27</v>
      </c>
      <c r="H64" s="167">
        <f>'[18]Table 3 Levels 1&amp;2'!AL66</f>
        <v>6274.2786338006481</v>
      </c>
      <c r="I64" s="167">
        <f>'[18]Table 4 Level 3'!P64</f>
        <v>689.52</v>
      </c>
      <c r="J64" s="167">
        <f t="shared" si="7"/>
        <v>3481.8993169003243</v>
      </c>
      <c r="K64" s="165">
        <f t="shared" si="3"/>
        <v>-94011.28155630875</v>
      </c>
      <c r="L64" s="178">
        <f t="shared" si="4"/>
        <v>0</v>
      </c>
      <c r="M64" s="178">
        <f t="shared" si="5"/>
        <v>-94011.28155630875</v>
      </c>
    </row>
    <row r="65" spans="1:13" ht="14.25" hidden="1">
      <c r="A65" s="168">
        <v>60</v>
      </c>
      <c r="B65" s="169" t="s">
        <v>222</v>
      </c>
      <c r="C65" s="170">
        <f>'[17]10.1.13 ALL'!C65</f>
        <v>6461</v>
      </c>
      <c r="D65" s="171">
        <f>'[17]2.1.14 ALL'!C65</f>
        <v>6408</v>
      </c>
      <c r="E65" s="172">
        <f t="shared" si="6"/>
        <v>-53</v>
      </c>
      <c r="F65" s="172">
        <f t="shared" si="1"/>
        <v>0</v>
      </c>
      <c r="G65" s="172">
        <f t="shared" si="2"/>
        <v>-53</v>
      </c>
      <c r="H65" s="174">
        <f>'[18]Table 3 Levels 1&amp;2'!AL67</f>
        <v>4940.9166775610411</v>
      </c>
      <c r="I65" s="174">
        <f>'[18]Table 4 Level 3'!P65</f>
        <v>594.04</v>
      </c>
      <c r="J65" s="174">
        <f t="shared" si="7"/>
        <v>2767.4783387805205</v>
      </c>
      <c r="K65" s="175">
        <f t="shared" si="3"/>
        <v>-146676.3519553676</v>
      </c>
      <c r="L65" s="179">
        <f t="shared" si="4"/>
        <v>0</v>
      </c>
      <c r="M65" s="179">
        <f t="shared" si="5"/>
        <v>-146676.3519553676</v>
      </c>
    </row>
    <row r="66" spans="1:13" ht="14.25" hidden="1">
      <c r="A66" s="160">
        <v>61</v>
      </c>
      <c r="B66" s="161" t="s">
        <v>223</v>
      </c>
      <c r="C66" s="162">
        <f>'[17]10.1.13 ALL'!C66</f>
        <v>3618</v>
      </c>
      <c r="D66" s="162">
        <f>'[17]2.1.14 ALL'!C66</f>
        <v>3603</v>
      </c>
      <c r="E66" s="163">
        <f t="shared" si="6"/>
        <v>-15</v>
      </c>
      <c r="F66" s="163">
        <f t="shared" si="1"/>
        <v>0</v>
      </c>
      <c r="G66" s="163">
        <f t="shared" si="2"/>
        <v>-15</v>
      </c>
      <c r="H66" s="164">
        <f>'[18]Table 3 Levels 1&amp;2'!AL68</f>
        <v>2908.0344869339228</v>
      </c>
      <c r="I66" s="164">
        <f>'[18]Table 4 Level 3'!P66</f>
        <v>833.70999999999992</v>
      </c>
      <c r="J66" s="164">
        <f t="shared" si="7"/>
        <v>1870.8722434669614</v>
      </c>
      <c r="K66" s="165">
        <f t="shared" si="3"/>
        <v>-28063.083652004421</v>
      </c>
      <c r="L66" s="178">
        <f t="shared" si="4"/>
        <v>0</v>
      </c>
      <c r="M66" s="178">
        <f t="shared" si="5"/>
        <v>-28063.083652004421</v>
      </c>
    </row>
    <row r="67" spans="1:13" ht="14.25" hidden="1">
      <c r="A67" s="160">
        <v>62</v>
      </c>
      <c r="B67" s="161" t="s">
        <v>224</v>
      </c>
      <c r="C67" s="162">
        <f>'[17]10.1.13 ALL'!C67</f>
        <v>2108</v>
      </c>
      <c r="D67" s="162">
        <f>'[17]2.1.14 ALL'!C67</f>
        <v>2113</v>
      </c>
      <c r="E67" s="163">
        <f t="shared" si="6"/>
        <v>5</v>
      </c>
      <c r="F67" s="163">
        <f t="shared" si="1"/>
        <v>5</v>
      </c>
      <c r="G67" s="163">
        <f t="shared" si="2"/>
        <v>0</v>
      </c>
      <c r="H67" s="164">
        <f>'[18]Table 3 Levels 1&amp;2'!AL69</f>
        <v>5652.1730736722093</v>
      </c>
      <c r="I67" s="164">
        <f>'[18]Table 4 Level 3'!P67</f>
        <v>516.08000000000004</v>
      </c>
      <c r="J67" s="164">
        <f t="shared" si="7"/>
        <v>3084.1265368361046</v>
      </c>
      <c r="K67" s="165">
        <f t="shared" si="3"/>
        <v>15420.632684180524</v>
      </c>
      <c r="L67" s="178">
        <f t="shared" si="4"/>
        <v>15420.632684180524</v>
      </c>
      <c r="M67" s="178">
        <f t="shared" si="5"/>
        <v>0</v>
      </c>
    </row>
    <row r="68" spans="1:13" ht="14.25" hidden="1">
      <c r="A68" s="160">
        <v>63</v>
      </c>
      <c r="B68" s="161" t="s">
        <v>225</v>
      </c>
      <c r="C68" s="166">
        <f>'[17]10.1.13 ALL'!C68</f>
        <v>2043</v>
      </c>
      <c r="D68" s="162">
        <f>'[17]2.1.14 ALL'!C68</f>
        <v>2035</v>
      </c>
      <c r="E68" s="163">
        <f t="shared" si="6"/>
        <v>-8</v>
      </c>
      <c r="F68" s="163">
        <f t="shared" si="1"/>
        <v>0</v>
      </c>
      <c r="G68" s="163">
        <f t="shared" si="2"/>
        <v>-8</v>
      </c>
      <c r="H68" s="167">
        <f>'[18]Table 3 Levels 1&amp;2'!AL70</f>
        <v>4362.300753810403</v>
      </c>
      <c r="I68" s="167">
        <f>'[18]Table 4 Level 3'!P68</f>
        <v>756.79</v>
      </c>
      <c r="J68" s="167">
        <f t="shared" si="7"/>
        <v>2559.5453769052015</v>
      </c>
      <c r="K68" s="165">
        <f t="shared" si="3"/>
        <v>-20476.363015241612</v>
      </c>
      <c r="L68" s="178">
        <f t="shared" si="4"/>
        <v>0</v>
      </c>
      <c r="M68" s="178">
        <f t="shared" si="5"/>
        <v>-20476.363015241612</v>
      </c>
    </row>
    <row r="69" spans="1:13" ht="14.25" hidden="1">
      <c r="A69" s="160">
        <v>64</v>
      </c>
      <c r="B69" s="161" t="s">
        <v>226</v>
      </c>
      <c r="C69" s="166">
        <f>'[17]10.1.13 ALL'!C69</f>
        <v>2394</v>
      </c>
      <c r="D69" s="162">
        <f>'[17]2.1.14 ALL'!C69</f>
        <v>2346</v>
      </c>
      <c r="E69" s="163">
        <f t="shared" si="6"/>
        <v>-48</v>
      </c>
      <c r="F69" s="163">
        <f t="shared" si="1"/>
        <v>0</v>
      </c>
      <c r="G69" s="163">
        <f t="shared" si="2"/>
        <v>-48</v>
      </c>
      <c r="H69" s="167">
        <f>'[18]Table 3 Levels 1&amp;2'!AL71</f>
        <v>5960.2049072003338</v>
      </c>
      <c r="I69" s="167">
        <f>'[18]Table 4 Level 3'!P69</f>
        <v>592.66</v>
      </c>
      <c r="J69" s="167">
        <f t="shared" si="7"/>
        <v>3276.4324536001668</v>
      </c>
      <c r="K69" s="165">
        <f t="shared" si="3"/>
        <v>-157268.75777280802</v>
      </c>
      <c r="L69" s="178">
        <f t="shared" si="4"/>
        <v>0</v>
      </c>
      <c r="M69" s="178">
        <f t="shared" si="5"/>
        <v>-157268.75777280802</v>
      </c>
    </row>
    <row r="70" spans="1:13" ht="14.25" hidden="1">
      <c r="A70" s="168">
        <v>65</v>
      </c>
      <c r="B70" s="169" t="s">
        <v>227</v>
      </c>
      <c r="C70" s="170">
        <f>'[17]10.1.13 ALL'!C70</f>
        <v>8118</v>
      </c>
      <c r="D70" s="171">
        <f>'[17]2.1.14 ALL'!C70</f>
        <v>8173</v>
      </c>
      <c r="E70" s="172">
        <f t="shared" si="6"/>
        <v>55</v>
      </c>
      <c r="F70" s="172">
        <f>IF(E70&gt;0,E70,0)</f>
        <v>55</v>
      </c>
      <c r="G70" s="172">
        <f t="shared" ref="G70:G74" si="8">IF(E70&lt;0,E70,0)</f>
        <v>0</v>
      </c>
      <c r="H70" s="174">
        <f>'[18]Table 3 Levels 1&amp;2'!AL72</f>
        <v>4579.2772303106676</v>
      </c>
      <c r="I70" s="174">
        <f>'[18]Table 4 Level 3'!P70</f>
        <v>829.12</v>
      </c>
      <c r="J70" s="174">
        <f t="shared" si="7"/>
        <v>2704.1986151553338</v>
      </c>
      <c r="K70" s="175">
        <f>E70*J70</f>
        <v>148730.92383354335</v>
      </c>
      <c r="L70" s="179">
        <f>IF(K70&gt;0,K70,0)</f>
        <v>148730.92383354335</v>
      </c>
      <c r="M70" s="179">
        <f t="shared" ref="M70:M74" si="9">IF(K70&lt;0,K70,0)</f>
        <v>0</v>
      </c>
    </row>
    <row r="71" spans="1:13" ht="14.25" hidden="1">
      <c r="A71" s="182">
        <v>66</v>
      </c>
      <c r="B71" s="183" t="s">
        <v>228</v>
      </c>
      <c r="C71" s="166">
        <f>'[17]10.1.13 ALL'!C71</f>
        <v>1855</v>
      </c>
      <c r="D71" s="162">
        <f>'[17]2.1.14 ALL'!C71</f>
        <v>1845</v>
      </c>
      <c r="E71" s="163">
        <f t="shared" ref="E71:E74" si="10">D71-C71</f>
        <v>-10</v>
      </c>
      <c r="F71" s="163">
        <f>IF(E71&gt;0,E71,0)</f>
        <v>0</v>
      </c>
      <c r="G71" s="163">
        <f t="shared" si="8"/>
        <v>-10</v>
      </c>
      <c r="H71" s="167">
        <f>'[18]Table 3 Levels 1&amp;2'!AL73</f>
        <v>6370.8108195713585</v>
      </c>
      <c r="I71" s="167">
        <f>'[18]Table 4 Level 3'!P71</f>
        <v>730.06</v>
      </c>
      <c r="J71" s="167">
        <f t="shared" ref="J71:J74" si="11">(I71+H71)*0.5</f>
        <v>3550.4354097856794</v>
      </c>
      <c r="K71" s="165">
        <f>E71*J71</f>
        <v>-35504.354097856791</v>
      </c>
      <c r="L71" s="178">
        <f>IF(K71&gt;0,K71,0)</f>
        <v>0</v>
      </c>
      <c r="M71" s="178">
        <f t="shared" si="9"/>
        <v>-35504.354097856791</v>
      </c>
    </row>
    <row r="72" spans="1:13" ht="14.25" hidden="1">
      <c r="A72" s="160">
        <v>67</v>
      </c>
      <c r="B72" s="161" t="s">
        <v>229</v>
      </c>
      <c r="C72" s="162">
        <f>'[17]10.1.13 ALL'!C72</f>
        <v>5302</v>
      </c>
      <c r="D72" s="162">
        <f>'[17]2.1.14 ALL'!C72</f>
        <v>5254</v>
      </c>
      <c r="E72" s="163">
        <f t="shared" si="10"/>
        <v>-48</v>
      </c>
      <c r="F72" s="163">
        <f>IF(E72&gt;0,E72,0)</f>
        <v>0</v>
      </c>
      <c r="G72" s="163">
        <f t="shared" si="8"/>
        <v>-48</v>
      </c>
      <c r="H72" s="164">
        <f>'[18]Table 3 Levels 1&amp;2'!AL74</f>
        <v>4951.6009932106244</v>
      </c>
      <c r="I72" s="164">
        <f>'[18]Table 4 Level 3'!P72</f>
        <v>715.61</v>
      </c>
      <c r="J72" s="164">
        <f t="shared" si="11"/>
        <v>2833.6054966053121</v>
      </c>
      <c r="K72" s="165">
        <f>E72*J72</f>
        <v>-136013.06383705497</v>
      </c>
      <c r="L72" s="178">
        <f>IF(K72&gt;0,K72,0)</f>
        <v>0</v>
      </c>
      <c r="M72" s="178">
        <f t="shared" si="9"/>
        <v>-136013.06383705497</v>
      </c>
    </row>
    <row r="73" spans="1:13" ht="14.25" hidden="1">
      <c r="A73" s="160">
        <v>68</v>
      </c>
      <c r="B73" s="161" t="s">
        <v>230</v>
      </c>
      <c r="C73" s="162">
        <f>'[17]10.1.13 ALL'!C73</f>
        <v>1611</v>
      </c>
      <c r="D73" s="162">
        <f>'[17]2.1.14 ALL'!C73</f>
        <v>1597</v>
      </c>
      <c r="E73" s="163">
        <f t="shared" si="10"/>
        <v>-14</v>
      </c>
      <c r="F73" s="163">
        <f>IF(E73&gt;0,E73,0)</f>
        <v>0</v>
      </c>
      <c r="G73" s="163">
        <f t="shared" si="8"/>
        <v>-14</v>
      </c>
      <c r="H73" s="164">
        <f>'[18]Table 3 Levels 1&amp;2'!AL75</f>
        <v>6077.2398733698947</v>
      </c>
      <c r="I73" s="164">
        <f>'[18]Table 4 Level 3'!P73</f>
        <v>798.7</v>
      </c>
      <c r="J73" s="164">
        <f t="shared" si="11"/>
        <v>3437.9699366849472</v>
      </c>
      <c r="K73" s="165">
        <f>E73*J73</f>
        <v>-48131.579113589265</v>
      </c>
      <c r="L73" s="178">
        <f>IF(K73&gt;0,K73,0)</f>
        <v>0</v>
      </c>
      <c r="M73" s="178">
        <f t="shared" si="9"/>
        <v>-48131.579113589265</v>
      </c>
    </row>
    <row r="74" spans="1:13" ht="14.25" hidden="1">
      <c r="A74" s="184">
        <v>69</v>
      </c>
      <c r="B74" s="185" t="s">
        <v>231</v>
      </c>
      <c r="C74" s="162">
        <f>'[17]10.1.13 ALL'!C74</f>
        <v>4292</v>
      </c>
      <c r="D74" s="162">
        <f>'[17]2.1.14 ALL'!C74</f>
        <v>4299</v>
      </c>
      <c r="E74" s="163">
        <f t="shared" si="10"/>
        <v>7</v>
      </c>
      <c r="F74" s="163">
        <f>IF(E74&gt;0,E74,0)</f>
        <v>7</v>
      </c>
      <c r="G74" s="163">
        <f t="shared" si="8"/>
        <v>0</v>
      </c>
      <c r="H74" s="164">
        <f>'[18]Table 3 Levels 1&amp;2'!AL76</f>
        <v>5585.8253106686579</v>
      </c>
      <c r="I74" s="164">
        <f>'[18]Table 4 Level 3'!P74</f>
        <v>705.67</v>
      </c>
      <c r="J74" s="164">
        <f t="shared" si="11"/>
        <v>3145.747655334329</v>
      </c>
      <c r="K74" s="165">
        <f>E74*J74</f>
        <v>22020.233587340303</v>
      </c>
      <c r="L74" s="178">
        <f>IF(K74&gt;0,K74,0)</f>
        <v>22020.233587340303</v>
      </c>
      <c r="M74" s="178">
        <f t="shared" si="9"/>
        <v>0</v>
      </c>
    </row>
    <row r="75" spans="1:13" s="190" customFormat="1" ht="15.75" hidden="1" thickBot="1">
      <c r="A75" s="186"/>
      <c r="B75" s="187" t="s">
        <v>232</v>
      </c>
      <c r="C75" s="188">
        <f>SUM(C6:C74)</f>
        <v>641076</v>
      </c>
      <c r="D75" s="188">
        <f>SUM(D6:D74)</f>
        <v>637824</v>
      </c>
      <c r="E75" s="188">
        <f>SUM(E6:E74)</f>
        <v>-3252</v>
      </c>
      <c r="F75" s="188">
        <f>SUM(F6:F74)</f>
        <v>261</v>
      </c>
      <c r="G75" s="188">
        <f>SUM(G6:G74)</f>
        <v>-3513</v>
      </c>
      <c r="H75" s="189"/>
      <c r="I75" s="189"/>
      <c r="J75" s="189"/>
      <c r="K75" s="189">
        <f>SUM(K6:K74)</f>
        <v>-8890289.3757084254</v>
      </c>
      <c r="L75" s="189">
        <f>SUM(L6:L74)</f>
        <v>606721.46086563705</v>
      </c>
      <c r="M75" s="189">
        <f>SUM(M6:M74)</f>
        <v>-9497010.8365740608</v>
      </c>
    </row>
    <row r="76" spans="1:13" ht="6.75" hidden="1" customHeight="1" thickTop="1">
      <c r="A76" s="191"/>
      <c r="B76" s="192"/>
      <c r="C76" s="193"/>
      <c r="D76" s="193"/>
      <c r="E76" s="193"/>
      <c r="F76" s="193"/>
      <c r="G76" s="193"/>
      <c r="H76" s="194"/>
      <c r="I76" s="194"/>
      <c r="J76" s="194"/>
      <c r="K76" s="194"/>
      <c r="L76" s="194"/>
      <c r="M76" s="194"/>
    </row>
    <row r="77" spans="1:13" ht="12.75" hidden="1" customHeight="1">
      <c r="A77" s="195"/>
      <c r="B77" s="195" t="s">
        <v>233</v>
      </c>
      <c r="C77" s="196">
        <f>'[17]10.1.13 ALL'!AE77</f>
        <v>1398</v>
      </c>
      <c r="D77" s="196">
        <f>'[17]2.1.14 ALL'!AE77</f>
        <v>1394</v>
      </c>
      <c r="E77" s="197">
        <f>D77-C77</f>
        <v>-4</v>
      </c>
      <c r="F77" s="197">
        <f>IF(E77&gt;0,E77,0)</f>
        <v>0</v>
      </c>
      <c r="G77" s="197">
        <f>IF(E77&lt;0,E77,0)</f>
        <v>-4</v>
      </c>
      <c r="H77" s="198">
        <f>'[18]Table 5A Labs, NOCCA,LSMSA'!$C$8</f>
        <v>4355.8307194085073</v>
      </c>
      <c r="I77" s="198">
        <f>'[18]Table 5A Labs, NOCCA,LSMSA'!$E$8</f>
        <v>605.97185873605952</v>
      </c>
      <c r="J77" s="198">
        <f t="shared" ref="J77:J78" si="12">(I77+H77)*0.5</f>
        <v>2480.9012890722834</v>
      </c>
      <c r="K77" s="199">
        <f>E77*J77</f>
        <v>-9923.6051562891334</v>
      </c>
      <c r="L77" s="198">
        <f>IF(K77&gt;0,K77,0)</f>
        <v>0</v>
      </c>
      <c r="M77" s="198">
        <f>IF(K77&lt;0,K77,0)</f>
        <v>-9923.6051562891334</v>
      </c>
    </row>
    <row r="78" spans="1:13" ht="14.25" hidden="1">
      <c r="A78" s="184"/>
      <c r="B78" s="200" t="s">
        <v>234</v>
      </c>
      <c r="C78" s="171">
        <f>'[17]10.1.13 ALL'!AF77</f>
        <v>533</v>
      </c>
      <c r="D78" s="171">
        <f>'[17]2.1.14 ALL'!AF77</f>
        <v>588</v>
      </c>
      <c r="E78" s="172">
        <f>D78-C78</f>
        <v>55</v>
      </c>
      <c r="F78" s="172">
        <f>IF(E78&gt;0,E78,0)</f>
        <v>55</v>
      </c>
      <c r="G78" s="172">
        <f>IF(E78&lt;0,E78,0)</f>
        <v>0</v>
      </c>
      <c r="H78" s="164">
        <f>'[18]Table 5A Labs, NOCCA,LSMSA'!$C$9</f>
        <v>4355.8307194085073</v>
      </c>
      <c r="I78" s="164">
        <f>'[18]Table 5A Labs, NOCCA,LSMSA'!$E$9</f>
        <v>699.89832861189802</v>
      </c>
      <c r="J78" s="173">
        <f t="shared" si="12"/>
        <v>2527.8645240102028</v>
      </c>
      <c r="K78" s="175">
        <f>E78*J78</f>
        <v>139032.54882056115</v>
      </c>
      <c r="L78" s="173">
        <f>IF(K78&gt;0,K78,0)</f>
        <v>139032.54882056115</v>
      </c>
      <c r="M78" s="173">
        <f>IF(K78&lt;0,K78,0)</f>
        <v>0</v>
      </c>
    </row>
    <row r="79" spans="1:13" s="190" customFormat="1" ht="15.75" hidden="1" thickBot="1">
      <c r="A79" s="201"/>
      <c r="B79" s="187" t="s">
        <v>235</v>
      </c>
      <c r="C79" s="188">
        <f>SUM(C77:C78)</f>
        <v>1931</v>
      </c>
      <c r="D79" s="188">
        <f>SUM(D77:D78)</f>
        <v>1982</v>
      </c>
      <c r="E79" s="188">
        <f>SUM(E77:E78)</f>
        <v>51</v>
      </c>
      <c r="F79" s="188">
        <f>SUM(F77:F78)</f>
        <v>55</v>
      </c>
      <c r="G79" s="188">
        <f>SUM(G77:G78)</f>
        <v>-4</v>
      </c>
      <c r="H79" s="189"/>
      <c r="I79" s="189"/>
      <c r="J79" s="189"/>
      <c r="K79" s="189">
        <f>SUM(K77:K78)</f>
        <v>129108.94366427201</v>
      </c>
      <c r="L79" s="189">
        <f>SUM(L77:L78)</f>
        <v>139032.54882056115</v>
      </c>
      <c r="M79" s="189">
        <f>SUM(M77:M78)</f>
        <v>-9923.6051562891334</v>
      </c>
    </row>
    <row r="80" spans="1:13" s="206" customFormat="1" ht="6.75" hidden="1" customHeight="1" thickTop="1">
      <c r="A80" s="202"/>
      <c r="B80" s="203"/>
      <c r="C80" s="204"/>
      <c r="D80" s="204"/>
      <c r="E80" s="204"/>
      <c r="F80" s="204"/>
      <c r="G80" s="204"/>
      <c r="H80" s="205"/>
      <c r="I80" s="205"/>
      <c r="J80" s="205"/>
      <c r="K80" s="205"/>
      <c r="L80" s="205"/>
      <c r="M80" s="205"/>
    </row>
    <row r="81" spans="1:13" s="206" customFormat="1" ht="14.25" hidden="1" customHeight="1" thickBot="1">
      <c r="A81" s="207"/>
      <c r="B81" s="208" t="s">
        <v>236</v>
      </c>
      <c r="C81" s="209">
        <f>'[17]10.1.13 ALL'!AG77</f>
        <v>298</v>
      </c>
      <c r="D81" s="209">
        <f>'[17]2.1.14 ALL'!AG77</f>
        <v>278</v>
      </c>
      <c r="E81" s="210">
        <f>D81-C81</f>
        <v>-20</v>
      </c>
      <c r="F81" s="209">
        <f>IF(E81&gt;0,E81,0)</f>
        <v>0</v>
      </c>
      <c r="G81" s="210">
        <f>IF(E81&lt;0,E81,0)</f>
        <v>-20</v>
      </c>
      <c r="H81" s="211">
        <f>'[18]Table 5A Labs, NOCCA,LSMSA'!$C$19</f>
        <v>4355.8307194085073</v>
      </c>
      <c r="I81" s="211">
        <f>'[18]Table 5A Labs, NOCCA,LSMSA'!$E$19</f>
        <v>704.49059912051428</v>
      </c>
      <c r="J81" s="211">
        <f>(I81+H81)*0.5</f>
        <v>2530.1606592645107</v>
      </c>
      <c r="K81" s="211">
        <f>E81*J81</f>
        <v>-50603.213185290217</v>
      </c>
      <c r="L81" s="211">
        <f>IF(K81&gt;0,K81,0)</f>
        <v>0</v>
      </c>
      <c r="M81" s="211">
        <f>IF(K81&lt;0,K81,0)</f>
        <v>-50603.213185290217</v>
      </c>
    </row>
    <row r="82" spans="1:13" s="206" customFormat="1" ht="6.75" hidden="1" customHeight="1" thickTop="1">
      <c r="A82" s="212"/>
      <c r="B82" s="213"/>
      <c r="C82" s="214"/>
      <c r="D82" s="214"/>
      <c r="E82" s="214"/>
      <c r="F82" s="214"/>
      <c r="G82" s="214"/>
      <c r="H82" s="215"/>
      <c r="I82" s="215"/>
      <c r="J82" s="215"/>
      <c r="K82" s="215"/>
      <c r="L82" s="215"/>
      <c r="M82" s="215"/>
    </row>
    <row r="83" spans="1:13" s="206" customFormat="1" ht="14.25" hidden="1" customHeight="1" thickBot="1">
      <c r="A83" s="207"/>
      <c r="B83" s="208" t="s">
        <v>237</v>
      </c>
      <c r="C83" s="209">
        <f>'[17]10.1.13 ALL'!AH77</f>
        <v>177</v>
      </c>
      <c r="D83" s="209">
        <f>'[17]2.1.14 ALL'!AH77</f>
        <v>175</v>
      </c>
      <c r="E83" s="210">
        <f>D83-C83</f>
        <v>-2</v>
      </c>
      <c r="F83" s="209">
        <f>IF(E83&gt;0,E83,0)</f>
        <v>0</v>
      </c>
      <c r="G83" s="210">
        <f>IF(E83&lt;0,E83,0)</f>
        <v>-2</v>
      </c>
      <c r="H83" s="211">
        <f>'[18]Table 5A Labs, NOCCA,LSMSA'!$C$20</f>
        <v>4355.8307194085073</v>
      </c>
      <c r="I83" s="211">
        <f>'[18]Table 5A Labs, NOCCA,LSMSA'!$E$20</f>
        <v>704.49059912051428</v>
      </c>
      <c r="J83" s="211">
        <f>(I83+H83)*0.5</f>
        <v>2530.1606592645107</v>
      </c>
      <c r="K83" s="211">
        <f>E83*J83</f>
        <v>-5060.3213185290215</v>
      </c>
      <c r="L83" s="211">
        <f>IF(K83&gt;0,K83,0)</f>
        <v>0</v>
      </c>
      <c r="M83" s="211">
        <f>IF(K83&lt;0,K83,0)</f>
        <v>-5060.3213185290215</v>
      </c>
    </row>
    <row r="84" spans="1:13" s="206" customFormat="1" ht="6.75" hidden="1" customHeight="1" thickTop="1">
      <c r="A84" s="212"/>
      <c r="B84" s="213"/>
      <c r="C84" s="214"/>
      <c r="D84" s="214"/>
      <c r="E84" s="214"/>
      <c r="F84" s="214"/>
      <c r="G84" s="214"/>
      <c r="H84" s="215"/>
      <c r="I84" s="215"/>
      <c r="J84" s="215"/>
      <c r="K84" s="215"/>
      <c r="L84" s="215"/>
      <c r="M84" s="215"/>
    </row>
    <row r="85" spans="1:13" s="206" customFormat="1" ht="14.25" hidden="1" customHeight="1">
      <c r="A85" s="216">
        <v>321</v>
      </c>
      <c r="B85" s="217" t="s">
        <v>238</v>
      </c>
      <c r="C85" s="218">
        <f>'[17]10.1.13 ALL'!G77</f>
        <v>335</v>
      </c>
      <c r="D85" s="218">
        <f>'[17]2.1.14 ALL'!G77</f>
        <v>325</v>
      </c>
      <c r="E85" s="219">
        <f t="shared" ref="E85:E93" si="13">D85-C85</f>
        <v>-10</v>
      </c>
      <c r="F85" s="218">
        <f t="shared" ref="F85:F93" si="14">IF(E85&gt;0,E85,0)</f>
        <v>0</v>
      </c>
      <c r="G85" s="219">
        <f t="shared" ref="G85:G93" si="15">IF(E85&lt;0,E85,0)</f>
        <v>-10</v>
      </c>
      <c r="H85" s="220">
        <f>'[3]Table 5D- Legacy Type 2'!D10</f>
        <v>9402.2772303106685</v>
      </c>
      <c r="I85" s="220">
        <f>'[18]Table 5D- Legacy Type 2'!F10</f>
        <v>716.29552188552179</v>
      </c>
      <c r="J85" s="220">
        <f t="shared" ref="J85:J93" si="16">(I85+H85)*0.5</f>
        <v>5059.2863760980954</v>
      </c>
      <c r="K85" s="221">
        <f>J85*E85</f>
        <v>-50592.863760980952</v>
      </c>
      <c r="L85" s="220">
        <f t="shared" ref="L85:L93" si="17">IF(K85&gt;0,K85,0)</f>
        <v>0</v>
      </c>
      <c r="M85" s="220">
        <f t="shared" ref="M85:M93" si="18">IF(K85&lt;0,K85,0)</f>
        <v>-50592.863760980952</v>
      </c>
    </row>
    <row r="86" spans="1:13" s="206" customFormat="1" ht="14.25" hidden="1" customHeight="1">
      <c r="A86" s="222">
        <v>329</v>
      </c>
      <c r="B86" s="223" t="s">
        <v>239</v>
      </c>
      <c r="C86" s="224">
        <f>'[17]10.1.13 ALL'!H77</f>
        <v>367</v>
      </c>
      <c r="D86" s="225">
        <f>'[17]2.1.14 ALL'!H77</f>
        <v>363</v>
      </c>
      <c r="E86" s="226">
        <f t="shared" si="13"/>
        <v>-4</v>
      </c>
      <c r="F86" s="225">
        <f t="shared" si="14"/>
        <v>0</v>
      </c>
      <c r="G86" s="226">
        <f t="shared" si="15"/>
        <v>-4</v>
      </c>
      <c r="H86" s="227">
        <f>'[3]Table 5D- Legacy Type 2'!D11</f>
        <v>8616.0339872793593</v>
      </c>
      <c r="I86" s="228">
        <f>'[18]Table 5D- Legacy Type 2'!F11</f>
        <v>598.40363440561384</v>
      </c>
      <c r="J86" s="228">
        <f t="shared" si="16"/>
        <v>4607.2188108424862</v>
      </c>
      <c r="K86" s="229">
        <f t="shared" ref="K86:K93" si="19">J86*E86</f>
        <v>-18428.875243369945</v>
      </c>
      <c r="L86" s="228">
        <f t="shared" si="17"/>
        <v>0</v>
      </c>
      <c r="M86" s="228">
        <f t="shared" si="18"/>
        <v>-18428.875243369945</v>
      </c>
    </row>
    <row r="87" spans="1:13" s="206" customFormat="1" ht="14.25" hidden="1" customHeight="1">
      <c r="A87" s="222">
        <v>331</v>
      </c>
      <c r="B87" s="230" t="s">
        <v>240</v>
      </c>
      <c r="C87" s="224">
        <f>'[17]10.1.13 ALL'!I77-C88</f>
        <v>629</v>
      </c>
      <c r="D87" s="225">
        <f>'[17]2.1.14 ALL'!I77-D88</f>
        <v>626</v>
      </c>
      <c r="E87" s="226">
        <f t="shared" si="13"/>
        <v>-3</v>
      </c>
      <c r="F87" s="225">
        <f t="shared" si="14"/>
        <v>0</v>
      </c>
      <c r="G87" s="226">
        <f t="shared" si="15"/>
        <v>-3</v>
      </c>
      <c r="H87" s="227">
        <f>'[3]Table 5D- Legacy Type 2'!$D$12</f>
        <v>8188.4894337711748</v>
      </c>
      <c r="I87" s="228">
        <f>'[18]Table 5D- Legacy Type 2'!F12</f>
        <v>714.81015756302509</v>
      </c>
      <c r="J87" s="228">
        <f t="shared" si="16"/>
        <v>4451.6497956671001</v>
      </c>
      <c r="K87" s="229">
        <f t="shared" si="19"/>
        <v>-13354.949387001299</v>
      </c>
      <c r="L87" s="228">
        <f t="shared" si="17"/>
        <v>0</v>
      </c>
      <c r="M87" s="228">
        <f t="shared" si="18"/>
        <v>-13354.949387001299</v>
      </c>
    </row>
    <row r="88" spans="1:13" s="206" customFormat="1" ht="14.25" hidden="1" customHeight="1">
      <c r="A88" s="222">
        <v>331</v>
      </c>
      <c r="B88" s="230" t="s">
        <v>241</v>
      </c>
      <c r="C88" s="224">
        <v>197</v>
      </c>
      <c r="D88" s="225">
        <v>193</v>
      </c>
      <c r="E88" s="226">
        <f t="shared" si="13"/>
        <v>-4</v>
      </c>
      <c r="F88" s="225">
        <f t="shared" si="14"/>
        <v>0</v>
      </c>
      <c r="G88" s="226">
        <f t="shared" si="15"/>
        <v>-4</v>
      </c>
      <c r="H88" s="227">
        <f>'[3]Table 5D- Legacy Type 2'!$D$13</f>
        <v>8953.4894337711739</v>
      </c>
      <c r="I88" s="228">
        <f>'[18]Table 5D- Legacy Type 2'!F13</f>
        <v>536.12413544332276</v>
      </c>
      <c r="J88" s="228">
        <f t="shared" si="16"/>
        <v>4744.8067846072481</v>
      </c>
      <c r="K88" s="229">
        <f t="shared" si="19"/>
        <v>-18979.227138428992</v>
      </c>
      <c r="L88" s="228">
        <f t="shared" si="17"/>
        <v>0</v>
      </c>
      <c r="M88" s="228">
        <f t="shared" si="18"/>
        <v>-18979.227138428992</v>
      </c>
    </row>
    <row r="89" spans="1:13" s="206" customFormat="1" ht="14.25" hidden="1" customHeight="1">
      <c r="A89" s="222">
        <v>333</v>
      </c>
      <c r="B89" s="223" t="s">
        <v>242</v>
      </c>
      <c r="C89" s="224">
        <f>'[17]10.1.13 ALL'!J77</f>
        <v>722</v>
      </c>
      <c r="D89" s="225">
        <f>'[17]2.1.14 ALL'!J77</f>
        <v>716</v>
      </c>
      <c r="E89" s="226">
        <f t="shared" si="13"/>
        <v>-6</v>
      </c>
      <c r="F89" s="225">
        <f t="shared" si="14"/>
        <v>0</v>
      </c>
      <c r="G89" s="226">
        <f t="shared" si="15"/>
        <v>-6</v>
      </c>
      <c r="H89" s="227">
        <f>'[3]Table 5D- Legacy Type 2'!$D$15</f>
        <v>7072.8166927080074</v>
      </c>
      <c r="I89" s="228">
        <f>'[18]Table 5D- Legacy Type 2'!F13</f>
        <v>536.12413544332276</v>
      </c>
      <c r="J89" s="228">
        <f t="shared" si="16"/>
        <v>3804.4704140756648</v>
      </c>
      <c r="K89" s="229">
        <f t="shared" si="19"/>
        <v>-22826.822484453987</v>
      </c>
      <c r="L89" s="228">
        <f t="shared" si="17"/>
        <v>0</v>
      </c>
      <c r="M89" s="228">
        <f t="shared" si="18"/>
        <v>-22826.822484453987</v>
      </c>
    </row>
    <row r="90" spans="1:13" s="206" customFormat="1" ht="14.25" hidden="1" customHeight="1">
      <c r="A90" s="222">
        <v>336</v>
      </c>
      <c r="B90" s="223" t="s">
        <v>243</v>
      </c>
      <c r="C90" s="224">
        <f>'[17]10.1.13 ALL'!K77</f>
        <v>924</v>
      </c>
      <c r="D90" s="225">
        <f>'[17]2.1.14 ALL'!K77</f>
        <v>903</v>
      </c>
      <c r="E90" s="226">
        <f t="shared" si="13"/>
        <v>-21</v>
      </c>
      <c r="F90" s="225">
        <f t="shared" si="14"/>
        <v>0</v>
      </c>
      <c r="G90" s="226">
        <f t="shared" si="15"/>
        <v>-21</v>
      </c>
      <c r="H90" s="227">
        <f>'[3]Table 5D- Legacy Type 2'!$D$16</f>
        <v>8622.4730460987812</v>
      </c>
      <c r="I90" s="228">
        <f>'[18]Table 5D- Legacy Type 2'!F14</f>
        <v>527.02354414153262</v>
      </c>
      <c r="J90" s="228">
        <f t="shared" si="16"/>
        <v>4574.7482951201573</v>
      </c>
      <c r="K90" s="229">
        <f t="shared" si="19"/>
        <v>-96069.71419752331</v>
      </c>
      <c r="L90" s="228">
        <f t="shared" si="17"/>
        <v>0</v>
      </c>
      <c r="M90" s="228">
        <f t="shared" si="18"/>
        <v>-96069.71419752331</v>
      </c>
    </row>
    <row r="91" spans="1:13" s="206" customFormat="1" ht="14.25" hidden="1" customHeight="1">
      <c r="A91" s="222">
        <v>337</v>
      </c>
      <c r="B91" s="223" t="s">
        <v>244</v>
      </c>
      <c r="C91" s="224">
        <f>'[17]10.1.13 ALL'!L77</f>
        <v>946</v>
      </c>
      <c r="D91" s="225">
        <f>'[17]2.1.14 ALL'!L77</f>
        <v>936</v>
      </c>
      <c r="E91" s="226">
        <f t="shared" si="13"/>
        <v>-10</v>
      </c>
      <c r="F91" s="225">
        <f t="shared" si="14"/>
        <v>0</v>
      </c>
      <c r="G91" s="226">
        <f t="shared" si="15"/>
        <v>-10</v>
      </c>
      <c r="H91" s="227">
        <f>'[3]Table 5D- Legacy Type 2'!$D$17</f>
        <v>14713.754527559055</v>
      </c>
      <c r="I91" s="228">
        <f>'[18]Table 5D- Legacy Type 2'!F15</f>
        <v>788.90242015830813</v>
      </c>
      <c r="J91" s="228">
        <f t="shared" si="16"/>
        <v>7751.3284738586817</v>
      </c>
      <c r="K91" s="229">
        <f t="shared" si="19"/>
        <v>-77513.284738586823</v>
      </c>
      <c r="L91" s="228">
        <f t="shared" si="17"/>
        <v>0</v>
      </c>
      <c r="M91" s="228">
        <f t="shared" si="18"/>
        <v>-77513.284738586823</v>
      </c>
    </row>
    <row r="92" spans="1:13" s="206" customFormat="1" ht="14.25" hidden="1" customHeight="1">
      <c r="A92" s="222">
        <v>339</v>
      </c>
      <c r="B92" s="223" t="s">
        <v>245</v>
      </c>
      <c r="C92" s="224">
        <f>'[17]10.1.13 ALL'!M77</f>
        <v>336</v>
      </c>
      <c r="D92" s="225">
        <f>'[17]2.1.14 ALL'!M77</f>
        <v>346</v>
      </c>
      <c r="E92" s="226">
        <f t="shared" si="13"/>
        <v>10</v>
      </c>
      <c r="F92" s="225">
        <f t="shared" si="14"/>
        <v>10</v>
      </c>
      <c r="G92" s="226">
        <f t="shared" si="15"/>
        <v>0</v>
      </c>
      <c r="H92" s="227">
        <f>'[3]Table 5D- Legacy Type 2'!$D$18</f>
        <v>8953.4894337711739</v>
      </c>
      <c r="I92" s="228">
        <f>'[18]Table 5D- Legacy Type 2'!F16</f>
        <v>705.7643831168831</v>
      </c>
      <c r="J92" s="228">
        <f t="shared" si="16"/>
        <v>4829.6269084440282</v>
      </c>
      <c r="K92" s="229">
        <f t="shared" si="19"/>
        <v>48296.269084440282</v>
      </c>
      <c r="L92" s="228">
        <f t="shared" si="17"/>
        <v>48296.269084440282</v>
      </c>
      <c r="M92" s="228">
        <f t="shared" si="18"/>
        <v>0</v>
      </c>
    </row>
    <row r="93" spans="1:13" s="206" customFormat="1" ht="14.25" hidden="1" customHeight="1">
      <c r="A93" s="231">
        <v>340</v>
      </c>
      <c r="B93" s="232" t="s">
        <v>246</v>
      </c>
      <c r="C93" s="233">
        <f>'[17]10.1.13 ALL'!N77</f>
        <v>116</v>
      </c>
      <c r="D93" s="234">
        <f>'[17]2.1.14 ALL'!N77</f>
        <v>110</v>
      </c>
      <c r="E93" s="235">
        <f t="shared" si="13"/>
        <v>-6</v>
      </c>
      <c r="F93" s="234">
        <f t="shared" si="14"/>
        <v>0</v>
      </c>
      <c r="G93" s="235">
        <f t="shared" si="15"/>
        <v>-6</v>
      </c>
      <c r="H93" s="236">
        <f>'[3]Table 5D- Legacy Type 2'!$D$19</f>
        <v>8778.5586133052639</v>
      </c>
      <c r="I93" s="237">
        <f>'[18]Table 5D- Legacy Type 2'!F17</f>
        <v>659.21180998497243</v>
      </c>
      <c r="J93" s="237">
        <f t="shared" si="16"/>
        <v>4718.885211645118</v>
      </c>
      <c r="K93" s="238">
        <f t="shared" si="19"/>
        <v>-28313.311269870708</v>
      </c>
      <c r="L93" s="237">
        <f t="shared" si="17"/>
        <v>0</v>
      </c>
      <c r="M93" s="237">
        <f t="shared" si="18"/>
        <v>-28313.311269870708</v>
      </c>
    </row>
    <row r="94" spans="1:13" s="206" customFormat="1" ht="18.75" hidden="1" customHeight="1">
      <c r="A94" s="222"/>
      <c r="B94" s="239" t="s">
        <v>247</v>
      </c>
      <c r="C94" s="240">
        <f>SUM(C85:C93)</f>
        <v>4572</v>
      </c>
      <c r="D94" s="240">
        <f>SUM(D85:D93)</f>
        <v>4518</v>
      </c>
      <c r="E94" s="241">
        <f>SUM(E85:E93)</f>
        <v>-54</v>
      </c>
      <c r="F94" s="240">
        <f>SUM(F85:F93)</f>
        <v>10</v>
      </c>
      <c r="G94" s="241">
        <f>SUM(G85:G93)</f>
        <v>-64</v>
      </c>
      <c r="H94" s="242"/>
      <c r="I94" s="242"/>
      <c r="J94" s="242"/>
      <c r="K94" s="242">
        <f>SUM(K85:K93)</f>
        <v>-277782.77913577569</v>
      </c>
      <c r="L94" s="242">
        <f>SUM(L85:L93)</f>
        <v>48296.269084440282</v>
      </c>
      <c r="M94" s="242">
        <f>SUM(M85:M93)</f>
        <v>-326079.04822021601</v>
      </c>
    </row>
    <row r="95" spans="1:13" s="206" customFormat="1" ht="7.5" hidden="1" customHeight="1" thickTop="1">
      <c r="A95" s="243"/>
      <c r="B95" s="244"/>
      <c r="C95" s="245"/>
      <c r="D95" s="245"/>
      <c r="E95" s="246"/>
      <c r="F95" s="245"/>
      <c r="G95" s="246"/>
      <c r="H95" s="247"/>
      <c r="I95" s="247"/>
      <c r="J95" s="247"/>
      <c r="K95" s="247"/>
      <c r="L95" s="247"/>
      <c r="M95" s="246"/>
    </row>
    <row r="96" spans="1:13" s="190" customFormat="1" ht="15.75" hidden="1" customHeight="1" thickBot="1">
      <c r="A96" s="248">
        <v>343001</v>
      </c>
      <c r="B96" s="187" t="s">
        <v>248</v>
      </c>
      <c r="C96" s="188">
        <f>'[17]Oct midyear Madison Prep'!D76</f>
        <v>276</v>
      </c>
      <c r="D96" s="249">
        <f>'[17]Feb midyear Madison Prep'!D76</f>
        <v>275</v>
      </c>
      <c r="E96" s="188">
        <f>D96-C96</f>
        <v>-1</v>
      </c>
      <c r="F96" s="188">
        <f>IF(E96&gt;0,E96,0)</f>
        <v>0</v>
      </c>
      <c r="G96" s="249">
        <f>IF(E96&lt;0,E96,0)</f>
        <v>-1</v>
      </c>
      <c r="H96" s="189"/>
      <c r="I96" s="189"/>
      <c r="J96" s="189"/>
      <c r="K96" s="189">
        <f>'[17]Feb midyear Madison Prep'!K76</f>
        <v>-2057.2721277349242</v>
      </c>
      <c r="L96" s="189">
        <f t="shared" ref="L96" si="20">IF(K96&gt;0,K96,0)</f>
        <v>0</v>
      </c>
      <c r="M96" s="189">
        <f t="shared" ref="M96" si="21">IF(K96&lt;0,K96,0)</f>
        <v>-2057.2721277349242</v>
      </c>
    </row>
    <row r="97" spans="1:13" s="190" customFormat="1" ht="9" hidden="1" customHeight="1" thickTop="1">
      <c r="A97" s="250"/>
      <c r="B97" s="251"/>
      <c r="C97" s="252"/>
      <c r="D97" s="253"/>
      <c r="E97" s="254"/>
      <c r="F97" s="254"/>
      <c r="G97" s="255"/>
      <c r="H97" s="256"/>
      <c r="I97" s="256"/>
      <c r="J97" s="256"/>
      <c r="K97" s="257"/>
      <c r="L97" s="257"/>
      <c r="M97" s="257"/>
    </row>
    <row r="98" spans="1:13" s="190" customFormat="1" ht="15.75" hidden="1" thickBot="1">
      <c r="A98" s="248">
        <v>341001</v>
      </c>
      <c r="B98" s="187" t="s">
        <v>249</v>
      </c>
      <c r="C98" s="188">
        <f>'[17]Oct midyear DArbonne'!D77</f>
        <v>723</v>
      </c>
      <c r="D98" s="188">
        <f>'[17]Feb midyear DArbonne'!D77</f>
        <v>705</v>
      </c>
      <c r="E98" s="188">
        <f>D98-C98</f>
        <v>-18</v>
      </c>
      <c r="F98" s="188">
        <f>IF(E98&gt;0,E98,0)</f>
        <v>0</v>
      </c>
      <c r="G98" s="249">
        <f>IF(E98&lt;0,E98,0)</f>
        <v>-18</v>
      </c>
      <c r="H98" s="189"/>
      <c r="I98" s="189"/>
      <c r="J98" s="189"/>
      <c r="K98" s="189">
        <f>'[17]Feb midyear DArbonne'!K77</f>
        <v>-50249.278707054546</v>
      </c>
      <c r="L98" s="189">
        <f t="shared" ref="L98" si="22">IF(K98&gt;0,K98,0)</f>
        <v>0</v>
      </c>
      <c r="M98" s="189">
        <f t="shared" ref="M98" si="23">IF(K98&lt;0,K98,0)</f>
        <v>-50249.278707054546</v>
      </c>
    </row>
    <row r="99" spans="1:13" s="260" customFormat="1" ht="6.75" hidden="1" customHeight="1" thickTop="1">
      <c r="A99" s="250"/>
      <c r="B99" s="251"/>
      <c r="C99" s="258"/>
      <c r="D99" s="258"/>
      <c r="E99" s="259"/>
      <c r="F99" s="259"/>
      <c r="G99" s="255"/>
      <c r="H99" s="256"/>
      <c r="I99" s="256"/>
      <c r="J99" s="256"/>
      <c r="K99" s="257"/>
      <c r="L99" s="257"/>
      <c r="M99" s="257"/>
    </row>
    <row r="100" spans="1:13" s="190" customFormat="1" ht="15.75" hidden="1" thickBot="1">
      <c r="A100" s="248">
        <v>344001</v>
      </c>
      <c r="B100" s="187" t="s">
        <v>250</v>
      </c>
      <c r="C100" s="188">
        <f>'[17]Oct midyear Intl_VIBE '!D76</f>
        <v>476</v>
      </c>
      <c r="D100" s="188">
        <f>'[17]Feb midyear Intl_VIBE '!D76</f>
        <v>461</v>
      </c>
      <c r="E100" s="188">
        <f>D100-C100</f>
        <v>-15</v>
      </c>
      <c r="F100" s="188">
        <f>IF(E100&gt;0,E100,0)</f>
        <v>0</v>
      </c>
      <c r="G100" s="249">
        <f>IF(E100&lt;0,E100,0)</f>
        <v>-15</v>
      </c>
      <c r="H100" s="189"/>
      <c r="I100" s="189"/>
      <c r="J100" s="189"/>
      <c r="K100" s="189">
        <f>'[17]Feb midyear Intl_VIBE '!K76</f>
        <v>-31726.499528363267</v>
      </c>
      <c r="L100" s="189">
        <f t="shared" ref="L100" si="24">IF(K100&gt;0,K100,0)</f>
        <v>0</v>
      </c>
      <c r="M100" s="189">
        <f t="shared" ref="M100" si="25">IF(K100&lt;0,K100,0)</f>
        <v>-31726.499528363267</v>
      </c>
    </row>
    <row r="101" spans="1:13" s="190" customFormat="1" ht="6.75" hidden="1" customHeight="1" thickTop="1">
      <c r="A101" s="261"/>
      <c r="B101" s="251"/>
      <c r="C101" s="258"/>
      <c r="D101" s="258"/>
      <c r="E101" s="259"/>
      <c r="F101" s="259"/>
      <c r="G101" s="255"/>
      <c r="H101" s="256"/>
      <c r="I101" s="256"/>
      <c r="J101" s="256"/>
      <c r="K101" s="257"/>
      <c r="L101" s="257"/>
      <c r="M101" s="257"/>
    </row>
    <row r="102" spans="1:13" s="269" customFormat="1" ht="15.75" hidden="1" customHeight="1" thickBot="1">
      <c r="A102" s="262">
        <v>348001</v>
      </c>
      <c r="B102" s="263" t="s">
        <v>251</v>
      </c>
      <c r="C102" s="264">
        <f>'[17]Oct midyear NOMMA'!D76</f>
        <v>360</v>
      </c>
      <c r="D102" s="264">
        <f>'[17]Feb midyear NOMMA'!D76</f>
        <v>357</v>
      </c>
      <c r="E102" s="265">
        <f>D102-C102</f>
        <v>-3</v>
      </c>
      <c r="F102" s="265">
        <f>IF(E102&gt;0,E102,0)</f>
        <v>0</v>
      </c>
      <c r="G102" s="266">
        <f>IF(E102&lt;0,E102,0)</f>
        <v>-3</v>
      </c>
      <c r="H102" s="267"/>
      <c r="I102" s="267"/>
      <c r="J102" s="267"/>
      <c r="K102" s="268">
        <f>'[17]Feb midyear NOMMA'!K76</f>
        <v>-3222.0575891702983</v>
      </c>
      <c r="L102" s="268">
        <f t="shared" ref="L102" si="26">IF(K102&gt;0,K102,0)</f>
        <v>0</v>
      </c>
      <c r="M102" s="268">
        <f t="shared" ref="M102" si="27">IF(K102&lt;0,K102,0)</f>
        <v>-3222.0575891702983</v>
      </c>
    </row>
    <row r="103" spans="1:13" s="190" customFormat="1" ht="6.75" hidden="1" customHeight="1" thickTop="1">
      <c r="A103" s="270"/>
      <c r="B103" s="271"/>
      <c r="C103" s="272"/>
      <c r="D103" s="272"/>
      <c r="E103" s="273"/>
      <c r="F103" s="273"/>
      <c r="G103" s="274"/>
      <c r="H103" s="275"/>
      <c r="I103" s="275"/>
      <c r="J103" s="275"/>
      <c r="K103" s="276"/>
      <c r="L103" s="276"/>
      <c r="M103" s="276"/>
    </row>
    <row r="104" spans="1:13" s="269" customFormat="1" ht="15.75" hidden="1" customHeight="1" thickBot="1">
      <c r="A104" s="262">
        <v>347001</v>
      </c>
      <c r="B104" s="263" t="s">
        <v>252</v>
      </c>
      <c r="C104" s="264">
        <f>'[17]Oct midyear LFNO'!D76</f>
        <v>305</v>
      </c>
      <c r="D104" s="264">
        <f>'[17]Feb midyear LFNO '!D76</f>
        <v>308</v>
      </c>
      <c r="E104" s="265">
        <f>D104-C104</f>
        <v>3</v>
      </c>
      <c r="F104" s="264">
        <f>IF(E104&gt;0,E104,0)</f>
        <v>3</v>
      </c>
      <c r="G104" s="277">
        <f>IF(E104&lt;0,E104,0)</f>
        <v>0</v>
      </c>
      <c r="H104" s="267"/>
      <c r="I104" s="267"/>
      <c r="J104" s="267"/>
      <c r="K104" s="268">
        <f>'[17]Feb midyear LFNO '!K76</f>
        <v>6331.6787588101888</v>
      </c>
      <c r="L104" s="268">
        <f t="shared" ref="L104" si="28">IF(K104&gt;0,K104,0)</f>
        <v>6331.6787588101888</v>
      </c>
      <c r="M104" s="268">
        <f t="shared" ref="M104" si="29">IF(K104&lt;0,K104,0)</f>
        <v>0</v>
      </c>
    </row>
    <row r="105" spans="1:13" s="190" customFormat="1" ht="6.75" hidden="1" customHeight="1" thickTop="1">
      <c r="A105" s="278"/>
      <c r="B105" s="271"/>
      <c r="C105" s="272"/>
      <c r="D105" s="272"/>
      <c r="E105" s="273"/>
      <c r="F105" s="273"/>
      <c r="G105" s="274"/>
      <c r="H105" s="275"/>
      <c r="I105" s="275"/>
      <c r="J105" s="275"/>
      <c r="K105" s="276"/>
      <c r="L105" s="276"/>
      <c r="M105" s="276"/>
    </row>
    <row r="106" spans="1:13" s="269" customFormat="1" ht="15.75" hidden="1" customHeight="1" thickBot="1">
      <c r="A106" s="262">
        <v>346001</v>
      </c>
      <c r="B106" s="263" t="s">
        <v>253</v>
      </c>
      <c r="C106" s="264">
        <f>'[17]Oct midyear Lake Charles Chtr'!D76</f>
        <v>872</v>
      </c>
      <c r="D106" s="264">
        <f>'[17]Feb midyear Lake Charles Ch'!D76</f>
        <v>865</v>
      </c>
      <c r="E106" s="265">
        <f>D106-C106</f>
        <v>-7</v>
      </c>
      <c r="F106" s="265">
        <f>IF(E106&gt;0,E106,0)</f>
        <v>0</v>
      </c>
      <c r="G106" s="266">
        <f>IF(E106&lt;0,E106,0)</f>
        <v>-7</v>
      </c>
      <c r="H106" s="267"/>
      <c r="I106" s="267"/>
      <c r="J106" s="267"/>
      <c r="K106" s="268">
        <f>'[17]Feb midyear Lake Charles Ch'!K76</f>
        <v>-17015.733216647357</v>
      </c>
      <c r="L106" s="268">
        <f t="shared" ref="L106" si="30">IF(K106&gt;0,K106,0)</f>
        <v>0</v>
      </c>
      <c r="M106" s="268">
        <f t="shared" ref="M106" si="31">IF(K106&lt;0,K106,0)</f>
        <v>-17015.733216647357</v>
      </c>
    </row>
    <row r="107" spans="1:13" s="269" customFormat="1" ht="5.25" hidden="1" customHeight="1" thickTop="1">
      <c r="A107" s="278"/>
      <c r="B107" s="271"/>
      <c r="C107" s="279"/>
      <c r="D107" s="279"/>
      <c r="E107" s="280"/>
      <c r="F107" s="280"/>
      <c r="G107" s="281"/>
      <c r="H107" s="282"/>
      <c r="I107" s="282"/>
      <c r="J107" s="282"/>
      <c r="K107" s="283"/>
      <c r="L107" s="283"/>
      <c r="M107" s="283"/>
    </row>
    <row r="108" spans="1:13" s="269" customFormat="1" ht="15.75" hidden="1" customHeight="1" thickBot="1">
      <c r="A108" s="262">
        <v>349001</v>
      </c>
      <c r="B108" s="284" t="s">
        <v>254</v>
      </c>
      <c r="C108" s="285">
        <f>'[17]Oct midyear JS Clark Academy'!D76</f>
        <v>196</v>
      </c>
      <c r="D108" s="285">
        <f>'[17]Feb midyear JS Clark Academy'!D76</f>
        <v>196</v>
      </c>
      <c r="E108" s="286">
        <f>D108-C108</f>
        <v>0</v>
      </c>
      <c r="F108" s="286">
        <f>IF(E108&gt;0,E108,0)</f>
        <v>0</v>
      </c>
      <c r="G108" s="287">
        <f>IF(E108&lt;0,E108,0)</f>
        <v>0</v>
      </c>
      <c r="H108" s="288"/>
      <c r="I108" s="288"/>
      <c r="J108" s="288"/>
      <c r="K108" s="289">
        <f>'[17]Feb midyear JS Clark Academy'!K76</f>
        <v>-776.78990659246892</v>
      </c>
      <c r="L108" s="289">
        <f t="shared" ref="L108" si="32">IF(K108&gt;0,K108,0)</f>
        <v>0</v>
      </c>
      <c r="M108" s="289">
        <f t="shared" ref="M108" si="33">IF(K108&lt;0,K108,0)</f>
        <v>-776.78990659246892</v>
      </c>
    </row>
    <row r="109" spans="1:13" s="269" customFormat="1" ht="6" hidden="1" customHeight="1" thickBot="1">
      <c r="A109" s="262"/>
      <c r="B109" s="290"/>
      <c r="C109" s="279"/>
      <c r="D109" s="279"/>
      <c r="E109" s="280"/>
      <c r="F109" s="280"/>
      <c r="G109" s="281"/>
      <c r="H109" s="282"/>
      <c r="I109" s="282"/>
      <c r="J109" s="282"/>
      <c r="K109" s="283"/>
      <c r="L109" s="283"/>
      <c r="M109" s="283"/>
    </row>
    <row r="110" spans="1:13" s="269" customFormat="1" ht="15.75" hidden="1" customHeight="1" thickBot="1">
      <c r="A110" s="262">
        <v>328001</v>
      </c>
      <c r="B110" s="291" t="s">
        <v>255</v>
      </c>
      <c r="C110" s="285">
        <f>'[17]Oct midyear Southwest LA Chtr'!D76</f>
        <v>679</v>
      </c>
      <c r="D110" s="285">
        <f>'[17]Feb midyear Southwest LA Ch '!D76</f>
        <v>671</v>
      </c>
      <c r="E110" s="286">
        <f>D110-C110</f>
        <v>-8</v>
      </c>
      <c r="F110" s="286">
        <f>IF(E110&gt;0,E110,0)</f>
        <v>0</v>
      </c>
      <c r="G110" s="287">
        <f>IF(E110&lt;0,E110,0)</f>
        <v>-8</v>
      </c>
      <c r="H110" s="288"/>
      <c r="I110" s="288"/>
      <c r="J110" s="288"/>
      <c r="K110" s="289">
        <f>'[17]Feb midyear Southwest LA Ch '!K76</f>
        <v>-19446.552247596977</v>
      </c>
      <c r="L110" s="289">
        <f t="shared" ref="L110" si="34">IF(K110&gt;0,K110,0)</f>
        <v>0</v>
      </c>
      <c r="M110" s="289">
        <f t="shared" ref="M110" si="35">IF(K110&lt;0,K110,0)</f>
        <v>-19446.552247596977</v>
      </c>
    </row>
    <row r="111" spans="1:13" s="269" customFormat="1" ht="6" hidden="1" customHeight="1" thickTop="1">
      <c r="A111" s="292"/>
      <c r="B111" s="290"/>
      <c r="C111" s="279"/>
      <c r="D111" s="279"/>
      <c r="E111" s="280"/>
      <c r="F111" s="280"/>
      <c r="G111" s="280"/>
      <c r="H111" s="282"/>
      <c r="I111" s="282"/>
      <c r="J111" s="282"/>
      <c r="K111" s="283"/>
      <c r="L111" s="283"/>
      <c r="M111" s="283"/>
    </row>
    <row r="112" spans="1:13" s="269" customFormat="1" ht="15.75" hidden="1" customHeight="1" thickBot="1">
      <c r="A112" s="293" t="s">
        <v>256</v>
      </c>
      <c r="B112" s="291" t="s">
        <v>257</v>
      </c>
      <c r="C112" s="285">
        <f>'[17]Oct midyear Key Academy'!D76</f>
        <v>125</v>
      </c>
      <c r="D112" s="285">
        <f>'[17]Feb midyear Key Academy'!D76</f>
        <v>130</v>
      </c>
      <c r="E112" s="286">
        <f>D112-C112</f>
        <v>5</v>
      </c>
      <c r="F112" s="286">
        <f>IF(E112&gt;0,E112,0)</f>
        <v>5</v>
      </c>
      <c r="G112" s="286">
        <f>IF(E112&lt;0,E112,0)</f>
        <v>0</v>
      </c>
      <c r="H112" s="288"/>
      <c r="I112" s="288"/>
      <c r="J112" s="288"/>
      <c r="K112" s="289">
        <f>'[17]Feb midyear Key Academy'!K76</f>
        <v>11781.909350634702</v>
      </c>
      <c r="L112" s="289">
        <f t="shared" ref="L112" si="36">IF(K112&gt;0,K112,0)</f>
        <v>11781.909350634702</v>
      </c>
      <c r="M112" s="289">
        <f t="shared" ref="M112" si="37">IF(K112&lt;0,K112,0)</f>
        <v>0</v>
      </c>
    </row>
    <row r="113" spans="1:13" s="269" customFormat="1" ht="6" hidden="1" customHeight="1" thickTop="1">
      <c r="A113" s="292"/>
      <c r="B113" s="290"/>
      <c r="C113" s="279"/>
      <c r="D113" s="279"/>
      <c r="E113" s="280"/>
      <c r="F113" s="280"/>
      <c r="G113" s="280"/>
      <c r="H113" s="282"/>
      <c r="I113" s="282"/>
      <c r="J113" s="282"/>
      <c r="K113" s="283"/>
      <c r="L113" s="283"/>
      <c r="M113" s="283"/>
    </row>
    <row r="114" spans="1:13" s="269" customFormat="1" ht="15.75" hidden="1" customHeight="1" thickBot="1">
      <c r="A114" s="293" t="s">
        <v>258</v>
      </c>
      <c r="B114" s="291" t="s">
        <v>259</v>
      </c>
      <c r="C114" s="285">
        <f>'[17]Oct midyear Jefferson Chamber'!D76</f>
        <v>90</v>
      </c>
      <c r="D114" s="285">
        <f>'[17]Feb midyear Jefferson Chamber'!D76</f>
        <v>95</v>
      </c>
      <c r="E114" s="286">
        <f>D114-C114</f>
        <v>5</v>
      </c>
      <c r="F114" s="286">
        <f>IF(E114&gt;0,E114,0)</f>
        <v>5</v>
      </c>
      <c r="G114" s="286">
        <f>IF(E114&lt;0,E114,0)</f>
        <v>0</v>
      </c>
      <c r="H114" s="288"/>
      <c r="I114" s="288"/>
      <c r="J114" s="288"/>
      <c r="K114" s="289">
        <f>'[17]Feb midyear Jefferson Chamber'!K76</f>
        <v>9159.0021480682008</v>
      </c>
      <c r="L114" s="289">
        <f t="shared" ref="L114" si="38">IF(K114&gt;0,K114,0)</f>
        <v>9159.0021480682008</v>
      </c>
      <c r="M114" s="289">
        <f t="shared" ref="M114" si="39">IF(K114&lt;0,K114,0)</f>
        <v>0</v>
      </c>
    </row>
    <row r="115" spans="1:13" s="269" customFormat="1" ht="6" hidden="1" customHeight="1" thickTop="1">
      <c r="A115" s="292"/>
      <c r="B115" s="290"/>
      <c r="C115" s="279"/>
      <c r="D115" s="279"/>
      <c r="E115" s="280"/>
      <c r="F115" s="280"/>
      <c r="G115" s="280"/>
      <c r="H115" s="282"/>
      <c r="I115" s="282"/>
      <c r="J115" s="282"/>
      <c r="K115" s="283"/>
      <c r="L115" s="283"/>
      <c r="M115" s="283"/>
    </row>
    <row r="116" spans="1:13" s="269" customFormat="1" ht="15.75" hidden="1" customHeight="1" thickBot="1">
      <c r="A116" s="293" t="s">
        <v>260</v>
      </c>
      <c r="B116" s="291" t="s">
        <v>261</v>
      </c>
      <c r="C116" s="285">
        <f>'[17]Oct midyear Tallulah Charter'!D76</f>
        <v>299</v>
      </c>
      <c r="D116" s="285">
        <f>'[17]Feb midyear Tallulah Charter'!D76</f>
        <v>294</v>
      </c>
      <c r="E116" s="286">
        <f>D116-C116</f>
        <v>-5</v>
      </c>
      <c r="F116" s="286">
        <f>IF(E116&gt;0,E116,0)</f>
        <v>0</v>
      </c>
      <c r="G116" s="286">
        <f>IF(E116&lt;0,E116,0)</f>
        <v>-5</v>
      </c>
      <c r="H116" s="288"/>
      <c r="I116" s="288"/>
      <c r="J116" s="288"/>
      <c r="K116" s="289">
        <f>'[17]Feb midyear Tallulah Charter'!K76</f>
        <v>-14962.136056629464</v>
      </c>
      <c r="L116" s="289">
        <f t="shared" ref="L116" si="40">IF(K116&gt;0,K116,0)</f>
        <v>0</v>
      </c>
      <c r="M116" s="289">
        <f t="shared" ref="M116" si="41">IF(K116&lt;0,K116,0)</f>
        <v>-14962.136056629464</v>
      </c>
    </row>
    <row r="117" spans="1:13" s="269" customFormat="1" ht="6" hidden="1" customHeight="1" thickTop="1">
      <c r="A117" s="292"/>
      <c r="B117" s="290"/>
      <c r="C117" s="279"/>
      <c r="D117" s="279"/>
      <c r="E117" s="280"/>
      <c r="F117" s="280"/>
      <c r="G117" s="280"/>
      <c r="H117" s="282"/>
      <c r="I117" s="282"/>
      <c r="J117" s="282"/>
      <c r="K117" s="283"/>
      <c r="L117" s="283"/>
      <c r="M117" s="283"/>
    </row>
    <row r="118" spans="1:13" s="269" customFormat="1" ht="15.75" hidden="1" customHeight="1" thickBot="1">
      <c r="A118" s="293" t="s">
        <v>262</v>
      </c>
      <c r="B118" s="291" t="s">
        <v>263</v>
      </c>
      <c r="C118" s="285">
        <f>'[17]Oct midyear Northshore Charter'!D76</f>
        <v>162</v>
      </c>
      <c r="D118" s="285">
        <f>'[17]Feb midyear Northshore Charter'!D76</f>
        <v>170</v>
      </c>
      <c r="E118" s="286">
        <f>D118-C118</f>
        <v>8</v>
      </c>
      <c r="F118" s="286">
        <f>IF(E118&gt;0,E118,0)</f>
        <v>8</v>
      </c>
      <c r="G118" s="286">
        <f>IF(E118&lt;0,E118,0)</f>
        <v>0</v>
      </c>
      <c r="H118" s="288"/>
      <c r="I118" s="288"/>
      <c r="J118" s="288"/>
      <c r="K118" s="289">
        <f>'[17]Feb midyear Northshore Charter'!K76</f>
        <v>27855.194535202594</v>
      </c>
      <c r="L118" s="289">
        <f t="shared" ref="L118" si="42">IF(K118&gt;0,K118,0)</f>
        <v>27855.194535202594</v>
      </c>
      <c r="M118" s="289">
        <f t="shared" ref="M118" si="43">IF(K118&lt;0,K118,0)</f>
        <v>0</v>
      </c>
    </row>
    <row r="119" spans="1:13" s="269" customFormat="1" ht="6" hidden="1" customHeight="1" thickTop="1">
      <c r="A119" s="292"/>
      <c r="B119" s="290"/>
      <c r="C119" s="279"/>
      <c r="D119" s="279"/>
      <c r="E119" s="280"/>
      <c r="F119" s="280"/>
      <c r="G119" s="280"/>
      <c r="H119" s="282"/>
      <c r="I119" s="282"/>
      <c r="J119" s="282"/>
      <c r="K119" s="283"/>
      <c r="L119" s="283"/>
      <c r="M119" s="283"/>
    </row>
    <row r="120" spans="1:13" s="269" customFormat="1" ht="15.75" hidden="1" customHeight="1" thickBot="1">
      <c r="A120" s="293" t="s">
        <v>264</v>
      </c>
      <c r="B120" s="291" t="s">
        <v>265</v>
      </c>
      <c r="C120" s="285">
        <f>'[17]Oct midyear B.R. Charter'!D76</f>
        <v>504</v>
      </c>
      <c r="D120" s="285">
        <f>'[17]Feb midyear B.R. Charter'!D76</f>
        <v>441</v>
      </c>
      <c r="E120" s="286">
        <f>D120-C120</f>
        <v>-63</v>
      </c>
      <c r="F120" s="286">
        <f>IF(E120&gt;0,E120,0)</f>
        <v>0</v>
      </c>
      <c r="G120" s="286">
        <f>IF(E120&lt;0,E120,0)</f>
        <v>-63</v>
      </c>
      <c r="H120" s="288"/>
      <c r="I120" s="288"/>
      <c r="J120" s="288"/>
      <c r="K120" s="289">
        <f>'[17]Feb midyear B.R. Charter'!K76</f>
        <v>-126107.44958427898</v>
      </c>
      <c r="L120" s="289">
        <f t="shared" ref="L120" si="44">IF(K120&gt;0,K120,0)</f>
        <v>0</v>
      </c>
      <c r="M120" s="289">
        <f t="shared" ref="M120" si="45">IF(K120&lt;0,K120,0)</f>
        <v>-126107.44958427898</v>
      </c>
    </row>
    <row r="121" spans="1:13" s="269" customFormat="1" ht="6" hidden="1" customHeight="1" thickTop="1">
      <c r="A121" s="292"/>
      <c r="B121" s="290"/>
      <c r="C121" s="279"/>
      <c r="D121" s="279"/>
      <c r="E121" s="280"/>
      <c r="F121" s="280"/>
      <c r="G121" s="280"/>
      <c r="H121" s="282"/>
      <c r="I121" s="282"/>
      <c r="J121" s="282"/>
      <c r="K121" s="283"/>
      <c r="L121" s="283"/>
      <c r="M121" s="283"/>
    </row>
    <row r="122" spans="1:13" s="269" customFormat="1" ht="15.75" hidden="1" customHeight="1" thickBot="1">
      <c r="A122" s="293" t="s">
        <v>266</v>
      </c>
      <c r="B122" s="291" t="s">
        <v>267</v>
      </c>
      <c r="C122" s="285">
        <f>'[17]Oct midyear Delta Charter'!D76</f>
        <v>327</v>
      </c>
      <c r="D122" s="285">
        <f>'[17]Feb midyear Delta Charter'!D76</f>
        <v>323</v>
      </c>
      <c r="E122" s="286">
        <f>D122-C122</f>
        <v>-4</v>
      </c>
      <c r="F122" s="286">
        <f>IF(E122&gt;0,E122,0)</f>
        <v>0</v>
      </c>
      <c r="G122" s="286">
        <f>IF(E122&lt;0,E122,0)</f>
        <v>-4</v>
      </c>
      <c r="H122" s="288"/>
      <c r="I122" s="288"/>
      <c r="J122" s="288"/>
      <c r="K122" s="289">
        <f>'[17]Feb midyear Delta Charter'!K76</f>
        <v>-11552.560494600446</v>
      </c>
      <c r="L122" s="289">
        <f t="shared" ref="L122" si="46">IF(K122&gt;0,K122,0)</f>
        <v>0</v>
      </c>
      <c r="M122" s="289">
        <f t="shared" ref="M122" si="47">IF(K122&lt;0,K122,0)</f>
        <v>-11552.560494600446</v>
      </c>
    </row>
    <row r="123" spans="1:13" s="269" customFormat="1" ht="6" hidden="1" customHeight="1" thickTop="1">
      <c r="A123" s="292"/>
      <c r="B123" s="290"/>
      <c r="C123" s="279"/>
      <c r="D123" s="279"/>
      <c r="E123" s="294"/>
      <c r="F123" s="294"/>
      <c r="G123" s="294"/>
      <c r="H123" s="282"/>
      <c r="I123" s="282"/>
      <c r="J123" s="282"/>
      <c r="K123" s="282"/>
      <c r="L123" s="282"/>
      <c r="M123" s="282"/>
    </row>
    <row r="124" spans="1:13" s="206" customFormat="1" ht="18.75" hidden="1" customHeight="1" thickBot="1">
      <c r="A124" s="293">
        <v>343002</v>
      </c>
      <c r="B124" s="291" t="s">
        <v>268</v>
      </c>
      <c r="C124" s="285">
        <f>'[17]Oct midyear LA Virtual Admy'!D73</f>
        <v>1795</v>
      </c>
      <c r="D124" s="285">
        <f>'[17]Feb midyear LA Virtual Admy'!D73</f>
        <v>1826</v>
      </c>
      <c r="E124" s="295">
        <f>D124-C124</f>
        <v>31</v>
      </c>
      <c r="F124" s="285">
        <f>IF(E124&gt;0,E124,0)</f>
        <v>31</v>
      </c>
      <c r="G124" s="285">
        <f>IF(E124&lt;0,E124,0)</f>
        <v>0</v>
      </c>
      <c r="H124" s="296"/>
      <c r="I124" s="296"/>
      <c r="J124" s="296"/>
      <c r="K124" s="289">
        <f>'[17]Feb midyear LA Virtual Admy'!K73</f>
        <v>84638.140062570848</v>
      </c>
      <c r="L124" s="289">
        <f t="shared" ref="L124" si="48">IF(K124&gt;0,K124,0)</f>
        <v>84638.140062570848</v>
      </c>
      <c r="M124" s="296">
        <f t="shared" ref="M124" si="49">IF(K124&lt;0,K124,0)</f>
        <v>0</v>
      </c>
    </row>
    <row r="125" spans="1:13" s="269" customFormat="1" ht="6" hidden="1" customHeight="1" thickTop="1">
      <c r="A125" s="297"/>
      <c r="B125" s="290"/>
      <c r="C125" s="298"/>
      <c r="D125" s="298"/>
      <c r="E125" s="299"/>
      <c r="F125" s="294"/>
      <c r="G125" s="294"/>
      <c r="H125" s="282"/>
      <c r="I125" s="282"/>
      <c r="J125" s="282"/>
      <c r="K125" s="282"/>
      <c r="L125" s="282"/>
      <c r="M125" s="282"/>
    </row>
    <row r="126" spans="1:13" s="206" customFormat="1" ht="18.75" hidden="1" customHeight="1" thickBot="1">
      <c r="A126" s="293">
        <v>345001</v>
      </c>
      <c r="B126" s="291" t="s">
        <v>269</v>
      </c>
      <c r="C126" s="285">
        <f>'[17]Oct midyear LA Connections'!D73</f>
        <v>1200</v>
      </c>
      <c r="D126" s="285">
        <f>'[17]Feb midyear LA Connections'!D73</f>
        <v>1200</v>
      </c>
      <c r="E126" s="295">
        <f>D126-C126</f>
        <v>0</v>
      </c>
      <c r="F126" s="285">
        <f>IF(E126&gt;0,E126,0)</f>
        <v>0</v>
      </c>
      <c r="G126" s="285">
        <f>IF(E126&lt;0,E126,0)</f>
        <v>0</v>
      </c>
      <c r="H126" s="296"/>
      <c r="I126" s="296"/>
      <c r="J126" s="296"/>
      <c r="K126" s="289">
        <f>'[17]Feb midyear LA Connections'!K73</f>
        <v>6465.8889394742346</v>
      </c>
      <c r="L126" s="267">
        <f t="shared" ref="L126:L138" si="50">IF(K126&gt;0,K126,0)</f>
        <v>6465.8889394742346</v>
      </c>
      <c r="M126" s="289">
        <f t="shared" ref="M126:M138" si="51">IF(K126&lt;0,K126,0)</f>
        <v>0</v>
      </c>
    </row>
    <row r="127" spans="1:13" ht="6.75" hidden="1" customHeight="1" thickTop="1">
      <c r="A127" s="300"/>
      <c r="B127" s="301"/>
      <c r="C127" s="302"/>
      <c r="D127" s="302"/>
      <c r="E127" s="302"/>
      <c r="F127" s="302"/>
      <c r="G127" s="302"/>
      <c r="H127" s="303"/>
      <c r="I127" s="303"/>
      <c r="J127" s="303"/>
      <c r="K127" s="303"/>
      <c r="L127" s="303"/>
      <c r="M127" s="303"/>
    </row>
    <row r="128" spans="1:13" ht="19.5" customHeight="1" thickBot="1">
      <c r="A128" s="304">
        <v>396</v>
      </c>
      <c r="B128" s="305" t="s">
        <v>270</v>
      </c>
      <c r="C128" s="306">
        <f>SUM('[17]10.1.13 RSD Operated by Site'!C5:C10)+'[17]10.1.13 RSD Operated by Site'!C21</f>
        <v>963</v>
      </c>
      <c r="D128" s="306">
        <f>'[17]2.1.14 RSD Operated by Site'!C5+'[17]2.1.14 RSD Operated by Site'!C6+'[17]2.1.14 RSD Operated by Site'!C7+'[17]2.1.14 RSD Operated by Site'!C8+'[17]2.1.14 RSD Operated by Site'!C9+'[17]2.1.14 RSD Operated by Site'!C10+'[17]2.1.14 RSD Operated by Site'!C21</f>
        <v>999</v>
      </c>
      <c r="E128" s="307">
        <f t="shared" ref="E128:E138" si="52">D128-C128</f>
        <v>36</v>
      </c>
      <c r="F128" s="307">
        <f t="shared" ref="F128:F138" si="53">IF(E128&gt;0,E128,0)</f>
        <v>36</v>
      </c>
      <c r="G128" s="307">
        <f t="shared" ref="G128:G138" si="54">IF(E128&lt;0,E128,0)</f>
        <v>0</v>
      </c>
      <c r="H128" s="178">
        <f>H41</f>
        <v>3520.4894337711748</v>
      </c>
      <c r="I128" s="178">
        <f>'[18]Table 5B1_RSD_Orleans'!$F$9</f>
        <v>797.0524448632965</v>
      </c>
      <c r="J128" s="178">
        <f t="shared" ref="J128:J138" si="55">(I128+H128)*0.5</f>
        <v>2158.7709393172358</v>
      </c>
      <c r="K128" s="165">
        <f t="shared" ref="K128:K138" si="56">E128*J128</f>
        <v>77715.753815420496</v>
      </c>
      <c r="L128" s="178">
        <f t="shared" si="50"/>
        <v>77715.753815420496</v>
      </c>
      <c r="M128" s="178">
        <f t="shared" si="51"/>
        <v>0</v>
      </c>
    </row>
    <row r="129" spans="1:13" ht="13.5" hidden="1" customHeight="1" thickBot="1">
      <c r="A129" s="304">
        <v>396200</v>
      </c>
      <c r="B129" s="308" t="s">
        <v>271</v>
      </c>
      <c r="C129" s="309">
        <f>'[17]10.1.13 RSD Operated by Site'!C11</f>
        <v>292</v>
      </c>
      <c r="D129" s="309">
        <f>'[17]2.1.14 RSD Operated by Site'!C11</f>
        <v>309</v>
      </c>
      <c r="E129" s="310">
        <f t="shared" si="52"/>
        <v>17</v>
      </c>
      <c r="F129" s="310">
        <f t="shared" si="53"/>
        <v>17</v>
      </c>
      <c r="G129" s="310">
        <f t="shared" si="54"/>
        <v>0</v>
      </c>
      <c r="H129" s="311">
        <f>H51</f>
        <v>5644.6599115241634</v>
      </c>
      <c r="I129" s="311">
        <f>'[18]Table 5B2_RSD_LA'!$F$35</f>
        <v>728.06</v>
      </c>
      <c r="J129" s="311">
        <f t="shared" si="55"/>
        <v>3186.3599557620819</v>
      </c>
      <c r="K129" s="312">
        <f t="shared" si="56"/>
        <v>54168.119247955394</v>
      </c>
      <c r="L129" s="311">
        <f t="shared" si="50"/>
        <v>54168.119247955394</v>
      </c>
      <c r="M129" s="311">
        <f t="shared" si="51"/>
        <v>0</v>
      </c>
    </row>
    <row r="130" spans="1:13" ht="15" hidden="1" thickBot="1">
      <c r="A130" s="304">
        <v>396201</v>
      </c>
      <c r="B130" s="313" t="s">
        <v>272</v>
      </c>
      <c r="C130" s="306">
        <f>'[17]10.1.13 RSD Operated by Site'!C12</f>
        <v>141</v>
      </c>
      <c r="D130" s="306">
        <f>'[17]2.1.14 RSD Operated by Site'!C12</f>
        <v>143</v>
      </c>
      <c r="E130" s="307">
        <f t="shared" si="52"/>
        <v>2</v>
      </c>
      <c r="F130" s="307">
        <f t="shared" si="53"/>
        <v>2</v>
      </c>
      <c r="G130" s="307">
        <f t="shared" si="54"/>
        <v>0</v>
      </c>
      <c r="H130" s="178">
        <f>H14</f>
        <v>4395.6154516889328</v>
      </c>
      <c r="I130" s="178">
        <f>'[18]Table 5B2_RSD_LA'!$F$28</f>
        <v>744.76</v>
      </c>
      <c r="J130" s="178">
        <f t="shared" si="55"/>
        <v>2570.1877258444665</v>
      </c>
      <c r="K130" s="165">
        <f t="shared" si="56"/>
        <v>5140.375451688933</v>
      </c>
      <c r="L130" s="178">
        <f t="shared" si="50"/>
        <v>5140.375451688933</v>
      </c>
      <c r="M130" s="178">
        <f t="shared" si="51"/>
        <v>0</v>
      </c>
    </row>
    <row r="131" spans="1:13" ht="15" hidden="1" thickBot="1">
      <c r="A131" s="304">
        <v>396202</v>
      </c>
      <c r="B131" s="314" t="s">
        <v>273</v>
      </c>
      <c r="C131" s="309">
        <f>'[17]10.1.13 RSD Operated by Site'!C13</f>
        <v>234</v>
      </c>
      <c r="D131" s="309">
        <f>'[17]2.1.14 RSD Operated by Site'!C13</f>
        <v>229</v>
      </c>
      <c r="E131" s="310">
        <f t="shared" si="52"/>
        <v>-5</v>
      </c>
      <c r="F131" s="310">
        <f t="shared" si="53"/>
        <v>0</v>
      </c>
      <c r="G131" s="310">
        <f t="shared" si="54"/>
        <v>-5</v>
      </c>
      <c r="H131" s="311">
        <f>$H$22</f>
        <v>3313.0666313017805</v>
      </c>
      <c r="I131" s="311">
        <f>'[18]Table 5B2_RSD_LA'!$F$16</f>
        <v>801.47762416806802</v>
      </c>
      <c r="J131" s="311">
        <f t="shared" si="55"/>
        <v>2057.2721277349242</v>
      </c>
      <c r="K131" s="312">
        <f t="shared" si="56"/>
        <v>-10286.360638674621</v>
      </c>
      <c r="L131" s="311">
        <f t="shared" si="50"/>
        <v>0</v>
      </c>
      <c r="M131" s="311">
        <f t="shared" si="51"/>
        <v>-10286.360638674621</v>
      </c>
    </row>
    <row r="132" spans="1:13" ht="15" hidden="1" thickBot="1">
      <c r="A132" s="304">
        <v>396204</v>
      </c>
      <c r="B132" s="315" t="s">
        <v>274</v>
      </c>
      <c r="C132" s="309">
        <f>'[17]10.1.13 RSD Operated by Site'!C14</f>
        <v>257</v>
      </c>
      <c r="D132" s="309">
        <f>'[17]2.1.14 RSD Operated by Site'!C14</f>
        <v>236</v>
      </c>
      <c r="E132" s="310">
        <f t="shared" si="52"/>
        <v>-21</v>
      </c>
      <c r="F132" s="310">
        <f t="shared" si="53"/>
        <v>0</v>
      </c>
      <c r="G132" s="310">
        <f t="shared" si="54"/>
        <v>-21</v>
      </c>
      <c r="H132" s="311">
        <f t="shared" ref="H132:H138" si="57">$H$22</f>
        <v>3313.0666313017805</v>
      </c>
      <c r="I132" s="311">
        <f>'[18]Table 5B2_RSD_LA'!$F$15</f>
        <v>801.47762416806802</v>
      </c>
      <c r="J132" s="311">
        <f t="shared" si="55"/>
        <v>2057.2721277349242</v>
      </c>
      <c r="K132" s="312">
        <f t="shared" si="56"/>
        <v>-43202.714682433405</v>
      </c>
      <c r="L132" s="311">
        <f t="shared" si="50"/>
        <v>0</v>
      </c>
      <c r="M132" s="311">
        <f t="shared" si="51"/>
        <v>-43202.714682433405</v>
      </c>
    </row>
    <row r="133" spans="1:13" ht="15" hidden="1" thickBot="1">
      <c r="A133" s="304">
        <v>396205</v>
      </c>
      <c r="B133" s="315" t="s">
        <v>275</v>
      </c>
      <c r="C133" s="309">
        <f>'[17]10.1.13 RSD Operated by Site'!C15</f>
        <v>188</v>
      </c>
      <c r="D133" s="309">
        <f>'[17]2.1.14 RSD Operated by Site'!C15</f>
        <v>181</v>
      </c>
      <c r="E133" s="310">
        <f t="shared" si="52"/>
        <v>-7</v>
      </c>
      <c r="F133" s="310">
        <f t="shared" si="53"/>
        <v>0</v>
      </c>
      <c r="G133" s="310">
        <f t="shared" si="54"/>
        <v>-7</v>
      </c>
      <c r="H133" s="311">
        <f t="shared" si="57"/>
        <v>3313.0666313017805</v>
      </c>
      <c r="I133" s="311">
        <f>'[18]Table 5B2_RSD_LA'!$F$11</f>
        <v>801.47762416806802</v>
      </c>
      <c r="J133" s="311">
        <f t="shared" si="55"/>
        <v>2057.2721277349242</v>
      </c>
      <c r="K133" s="312">
        <f t="shared" si="56"/>
        <v>-14400.904894144469</v>
      </c>
      <c r="L133" s="311">
        <f t="shared" si="50"/>
        <v>0</v>
      </c>
      <c r="M133" s="311">
        <f t="shared" si="51"/>
        <v>-14400.904894144469</v>
      </c>
    </row>
    <row r="134" spans="1:13" ht="15" hidden="1" thickBot="1">
      <c r="A134" s="304">
        <v>396206</v>
      </c>
      <c r="B134" s="315" t="s">
        <v>276</v>
      </c>
      <c r="C134" s="309">
        <f>'[17]10.1.13 RSD Operated by Site'!C16</f>
        <v>133</v>
      </c>
      <c r="D134" s="309">
        <f>'[17]2.1.14 RSD Operated by Site'!C16</f>
        <v>140</v>
      </c>
      <c r="E134" s="310">
        <f t="shared" si="52"/>
        <v>7</v>
      </c>
      <c r="F134" s="310">
        <f t="shared" si="53"/>
        <v>7</v>
      </c>
      <c r="G134" s="310">
        <f t="shared" si="54"/>
        <v>0</v>
      </c>
      <c r="H134" s="311">
        <f t="shared" si="57"/>
        <v>3313.0666313017805</v>
      </c>
      <c r="I134" s="311">
        <f>'[18]Table 5B2_RSD_LA'!$F$12</f>
        <v>801.47762416806802</v>
      </c>
      <c r="J134" s="311">
        <f t="shared" si="55"/>
        <v>2057.2721277349242</v>
      </c>
      <c r="K134" s="312">
        <f t="shared" si="56"/>
        <v>14400.904894144469</v>
      </c>
      <c r="L134" s="311">
        <f t="shared" si="50"/>
        <v>14400.904894144469</v>
      </c>
      <c r="M134" s="311">
        <f t="shared" si="51"/>
        <v>0</v>
      </c>
    </row>
    <row r="135" spans="1:13" ht="15" hidden="1" thickBot="1">
      <c r="A135" s="304">
        <v>396207</v>
      </c>
      <c r="B135" s="315" t="s">
        <v>277</v>
      </c>
      <c r="C135" s="309">
        <f>'[17]10.1.13 RSD Operated by Site'!C17</f>
        <v>185</v>
      </c>
      <c r="D135" s="309">
        <f>'[17]2.1.14 RSD Operated by Site'!C17</f>
        <v>182</v>
      </c>
      <c r="E135" s="310">
        <f t="shared" si="52"/>
        <v>-3</v>
      </c>
      <c r="F135" s="310">
        <f t="shared" si="53"/>
        <v>0</v>
      </c>
      <c r="G135" s="310">
        <f t="shared" si="54"/>
        <v>-3</v>
      </c>
      <c r="H135" s="311">
        <f>H44</f>
        <v>3639.9942778062696</v>
      </c>
      <c r="I135" s="311">
        <f>'[18]Table 5B2_RSD_LA'!$F$23</f>
        <v>779.65573042776441</v>
      </c>
      <c r="J135" s="311">
        <f t="shared" si="55"/>
        <v>2209.8250041170168</v>
      </c>
      <c r="K135" s="312">
        <f t="shared" si="56"/>
        <v>-6629.4750123510503</v>
      </c>
      <c r="L135" s="311">
        <f t="shared" si="50"/>
        <v>0</v>
      </c>
      <c r="M135" s="311">
        <f t="shared" si="51"/>
        <v>-6629.4750123510503</v>
      </c>
    </row>
    <row r="136" spans="1:13" ht="15" hidden="1" thickBot="1">
      <c r="A136" s="304">
        <v>396208</v>
      </c>
      <c r="B136" s="315" t="s">
        <v>278</v>
      </c>
      <c r="C136" s="309">
        <f>'[17]10.1.13 RSD Operated by Site'!C18</f>
        <v>322</v>
      </c>
      <c r="D136" s="309">
        <f>'[17]2.1.14 RSD Operated by Site'!C18</f>
        <v>305</v>
      </c>
      <c r="E136" s="310">
        <f t="shared" si="52"/>
        <v>-17</v>
      </c>
      <c r="F136" s="310">
        <f t="shared" si="53"/>
        <v>0</v>
      </c>
      <c r="G136" s="310">
        <f t="shared" si="54"/>
        <v>-17</v>
      </c>
      <c r="H136" s="311">
        <f t="shared" si="57"/>
        <v>3313.0666313017805</v>
      </c>
      <c r="I136" s="311">
        <f>'[18]Table 5B2_RSD_LA'!$F$13</f>
        <v>801.47762416806802</v>
      </c>
      <c r="J136" s="311">
        <f t="shared" si="55"/>
        <v>2057.2721277349242</v>
      </c>
      <c r="K136" s="312">
        <f t="shared" si="56"/>
        <v>-34973.626171493714</v>
      </c>
      <c r="L136" s="311">
        <f t="shared" si="50"/>
        <v>0</v>
      </c>
      <c r="M136" s="311">
        <f t="shared" si="51"/>
        <v>-34973.626171493714</v>
      </c>
    </row>
    <row r="137" spans="1:13" ht="15" hidden="1" thickBot="1">
      <c r="A137" s="304">
        <v>396209</v>
      </c>
      <c r="B137" s="315" t="s">
        <v>279</v>
      </c>
      <c r="C137" s="309">
        <f>'[17]10.1.13 RSD Operated by Site'!C19</f>
        <v>372</v>
      </c>
      <c r="D137" s="309">
        <f>'[17]2.1.14 RSD Operated by Site'!C19</f>
        <v>350</v>
      </c>
      <c r="E137" s="310">
        <f t="shared" si="52"/>
        <v>-22</v>
      </c>
      <c r="F137" s="310">
        <f t="shared" si="53"/>
        <v>0</v>
      </c>
      <c r="G137" s="310">
        <f t="shared" si="54"/>
        <v>-22</v>
      </c>
      <c r="H137" s="311">
        <f t="shared" si="57"/>
        <v>3313.0666313017805</v>
      </c>
      <c r="I137" s="311">
        <f>'[18]Table 5B2_RSD_LA'!$F$14</f>
        <v>801.47762416806802</v>
      </c>
      <c r="J137" s="311">
        <f t="shared" si="55"/>
        <v>2057.2721277349242</v>
      </c>
      <c r="K137" s="312">
        <f t="shared" si="56"/>
        <v>-45259.986810168331</v>
      </c>
      <c r="L137" s="311">
        <f t="shared" si="50"/>
        <v>0</v>
      </c>
      <c r="M137" s="311">
        <f t="shared" si="51"/>
        <v>-45259.986810168331</v>
      </c>
    </row>
    <row r="138" spans="1:13" ht="15" hidden="1" thickBot="1">
      <c r="A138" s="304">
        <v>396210</v>
      </c>
      <c r="B138" s="315" t="s">
        <v>280</v>
      </c>
      <c r="C138" s="309">
        <f>'[17]10.1.13 RSD Operated by Site'!C20</f>
        <v>157</v>
      </c>
      <c r="D138" s="309">
        <f>'[17]2.1.14 RSD Operated by Site'!C20</f>
        <v>152</v>
      </c>
      <c r="E138" s="310">
        <f t="shared" si="52"/>
        <v>-5</v>
      </c>
      <c r="F138" s="310">
        <f t="shared" si="53"/>
        <v>0</v>
      </c>
      <c r="G138" s="310">
        <f t="shared" si="54"/>
        <v>-5</v>
      </c>
      <c r="H138" s="311">
        <f t="shared" si="57"/>
        <v>3313.0666313017805</v>
      </c>
      <c r="I138" s="311">
        <f>'[18]Table 5B2_RSD_LA'!$F$10</f>
        <v>801.47762416806802</v>
      </c>
      <c r="J138" s="311">
        <f t="shared" si="55"/>
        <v>2057.2721277349242</v>
      </c>
      <c r="K138" s="312">
        <f t="shared" si="56"/>
        <v>-10286.360638674621</v>
      </c>
      <c r="L138" s="311">
        <f t="shared" si="50"/>
        <v>0</v>
      </c>
      <c r="M138" s="311">
        <f t="shared" si="51"/>
        <v>-10286.360638674621</v>
      </c>
    </row>
    <row r="139" spans="1:13" s="190" customFormat="1" ht="15" hidden="1" customHeight="1" thickBot="1">
      <c r="A139" s="186"/>
      <c r="B139" s="187" t="s">
        <v>281</v>
      </c>
      <c r="C139" s="188">
        <f>SUM(C128:C138)</f>
        <v>3244</v>
      </c>
      <c r="D139" s="188">
        <f>SUM(D128:D138)</f>
        <v>3226</v>
      </c>
      <c r="E139" s="188">
        <f>SUM(E128:E138)</f>
        <v>-18</v>
      </c>
      <c r="F139" s="188">
        <f>SUM(F128:F138)</f>
        <v>62</v>
      </c>
      <c r="G139" s="188">
        <f>SUM(G128:G138)</f>
        <v>-80</v>
      </c>
      <c r="H139" s="189"/>
      <c r="I139" s="189"/>
      <c r="J139" s="189"/>
      <c r="K139" s="189">
        <f>SUM(K128:K138)</f>
        <v>-13614.275438730914</v>
      </c>
      <c r="L139" s="189">
        <f>SUM(L128:L138)</f>
        <v>151425.15340920931</v>
      </c>
      <c r="M139" s="189">
        <f>SUM(M128:M138)</f>
        <v>-165039.4288479402</v>
      </c>
    </row>
    <row r="140" spans="1:13" ht="6.75" customHeight="1" thickTop="1">
      <c r="A140" s="316"/>
      <c r="B140" s="317"/>
      <c r="C140" s="318"/>
      <c r="D140" s="318"/>
      <c r="E140" s="319"/>
      <c r="F140" s="319"/>
      <c r="G140" s="319"/>
      <c r="H140" s="320"/>
      <c r="I140" s="320"/>
      <c r="J140" s="320"/>
      <c r="K140" s="320"/>
      <c r="L140" s="320"/>
      <c r="M140" s="320"/>
    </row>
    <row r="141" spans="1:13" s="206" customFormat="1" ht="14.25" customHeight="1">
      <c r="A141" s="321">
        <v>300001</v>
      </c>
      <c r="B141" s="322" t="s">
        <v>282</v>
      </c>
      <c r="C141" s="162">
        <f>'[17]10.1.13 Type 5 Charters by Site'!D5</f>
        <v>372</v>
      </c>
      <c r="D141" s="162">
        <f>'[17]2.1.14 Type 5 Charters by Site'!D5</f>
        <v>376</v>
      </c>
      <c r="E141" s="163">
        <f t="shared" ref="E141:E197" si="58">D141-C141</f>
        <v>4</v>
      </c>
      <c r="F141" s="163">
        <f t="shared" ref="F141:F197" si="59">IF(E141&gt;0,E141,0)</f>
        <v>4</v>
      </c>
      <c r="G141" s="163">
        <f t="shared" ref="G141:G197" si="60">IF(E141&lt;0,E141,0)</f>
        <v>0</v>
      </c>
      <c r="H141" s="164">
        <f>'[18]Table 5B1_RSD_Orleans'!D12</f>
        <v>3520.4894337711748</v>
      </c>
      <c r="I141" s="164">
        <f>'[18]Table 5B1_RSD_Orleans'!F12</f>
        <v>767.72184717013943</v>
      </c>
      <c r="J141" s="164">
        <f t="shared" ref="J141:J197" si="61">(I141+H141)*0.5</f>
        <v>2144.1056404706569</v>
      </c>
      <c r="K141" s="165">
        <f t="shared" ref="K141:K197" si="62">E141*J141</f>
        <v>8576.4225618826276</v>
      </c>
      <c r="L141" s="164">
        <f t="shared" ref="L141:L197" si="63">IF(K141&gt;0,K141,0)</f>
        <v>8576.4225618826276</v>
      </c>
      <c r="M141" s="164">
        <f t="shared" ref="M141:M197" si="64">IF(K141&lt;0,K141,0)</f>
        <v>0</v>
      </c>
    </row>
    <row r="142" spans="1:13" s="206" customFormat="1" ht="14.25" customHeight="1">
      <c r="A142" s="321">
        <v>300002</v>
      </c>
      <c r="B142" s="323" t="s">
        <v>283</v>
      </c>
      <c r="C142" s="162">
        <f>'[17]10.1.13 Type 5 Charters by Site'!D6</f>
        <v>489</v>
      </c>
      <c r="D142" s="162">
        <f>'[17]2.1.14 Type 5 Charters by Site'!D6</f>
        <v>492</v>
      </c>
      <c r="E142" s="163">
        <f t="shared" si="58"/>
        <v>3</v>
      </c>
      <c r="F142" s="163">
        <f t="shared" si="59"/>
        <v>3</v>
      </c>
      <c r="G142" s="163">
        <f t="shared" si="60"/>
        <v>0</v>
      </c>
      <c r="H142" s="164">
        <f>'[18]Table 5B1_RSD_Orleans'!D13</f>
        <v>3520.4894337711748</v>
      </c>
      <c r="I142" s="164">
        <f>'[18]Table 5B1_RSD_Orleans'!F13</f>
        <v>730.66950653120466</v>
      </c>
      <c r="J142" s="164">
        <f t="shared" si="61"/>
        <v>2125.5794701511895</v>
      </c>
      <c r="K142" s="165">
        <f t="shared" si="62"/>
        <v>6376.7384104535686</v>
      </c>
      <c r="L142" s="164">
        <f t="shared" si="63"/>
        <v>6376.7384104535686</v>
      </c>
      <c r="M142" s="164">
        <f t="shared" si="64"/>
        <v>0</v>
      </c>
    </row>
    <row r="143" spans="1:13" s="206" customFormat="1" ht="14.25" customHeight="1">
      <c r="A143" s="321">
        <v>300003</v>
      </c>
      <c r="B143" s="323" t="s">
        <v>284</v>
      </c>
      <c r="C143" s="166">
        <f>'[17]10.1.13 Type 5 Charters by Site'!D7</f>
        <v>666</v>
      </c>
      <c r="D143" s="162">
        <f>'[17]2.1.14 Type 5 Charters by Site'!D7</f>
        <v>660</v>
      </c>
      <c r="E143" s="163">
        <f t="shared" si="58"/>
        <v>-6</v>
      </c>
      <c r="F143" s="163">
        <f t="shared" si="59"/>
        <v>0</v>
      </c>
      <c r="G143" s="163">
        <f t="shared" si="60"/>
        <v>-6</v>
      </c>
      <c r="H143" s="167">
        <f>'[18]Table 5B1_RSD_Orleans'!D14</f>
        <v>3520.4894337711748</v>
      </c>
      <c r="I143" s="167">
        <f>'[18]Table 5B1_RSD_Orleans'!F14</f>
        <v>767.72184717013943</v>
      </c>
      <c r="J143" s="167">
        <f t="shared" si="61"/>
        <v>2144.1056404706569</v>
      </c>
      <c r="K143" s="165">
        <f t="shared" si="62"/>
        <v>-12864.633842823941</v>
      </c>
      <c r="L143" s="167">
        <f t="shared" si="63"/>
        <v>0</v>
      </c>
      <c r="M143" s="167">
        <f t="shared" si="64"/>
        <v>-12864.633842823941</v>
      </c>
    </row>
    <row r="144" spans="1:13" s="206" customFormat="1" ht="14.25" customHeight="1">
      <c r="A144" s="324">
        <v>300004</v>
      </c>
      <c r="B144" s="325" t="s">
        <v>285</v>
      </c>
      <c r="C144" s="166">
        <f>'[17]10.1.13 Type 5 Charters by Site'!D8</f>
        <v>432</v>
      </c>
      <c r="D144" s="162">
        <f>'[17]2.1.14 Type 5 Charters by Site'!D8</f>
        <v>447</v>
      </c>
      <c r="E144" s="163">
        <f t="shared" si="58"/>
        <v>15</v>
      </c>
      <c r="F144" s="163">
        <f t="shared" si="59"/>
        <v>15</v>
      </c>
      <c r="G144" s="163">
        <f t="shared" si="60"/>
        <v>0</v>
      </c>
      <c r="H144" s="167">
        <f>'[18]Table 5B1_RSD_Orleans'!D15</f>
        <v>3520.4894337711748</v>
      </c>
      <c r="I144" s="167">
        <f>'[18]Table 5B1_RSD_Orleans'!F15</f>
        <v>746.0335616438357</v>
      </c>
      <c r="J144" s="167">
        <f t="shared" si="61"/>
        <v>2133.2614977075054</v>
      </c>
      <c r="K144" s="165">
        <f t="shared" si="62"/>
        <v>31998.922465612581</v>
      </c>
      <c r="L144" s="167">
        <f t="shared" si="63"/>
        <v>31998.922465612581</v>
      </c>
      <c r="M144" s="167">
        <f t="shared" si="64"/>
        <v>0</v>
      </c>
    </row>
    <row r="145" spans="1:13" s="206" customFormat="1" ht="14.25" customHeight="1">
      <c r="A145" s="326">
        <v>360001</v>
      </c>
      <c r="B145" s="327" t="s">
        <v>286</v>
      </c>
      <c r="C145" s="170">
        <f>'[17]10.1.13 Type 5 Charters by Site'!D9</f>
        <v>159</v>
      </c>
      <c r="D145" s="171">
        <f>'[17]2.1.14 Type 5 Charters by Site'!D9</f>
        <v>145</v>
      </c>
      <c r="E145" s="172">
        <f t="shared" si="58"/>
        <v>-14</v>
      </c>
      <c r="F145" s="172">
        <f t="shared" si="59"/>
        <v>0</v>
      </c>
      <c r="G145" s="172">
        <f t="shared" si="60"/>
        <v>-14</v>
      </c>
      <c r="H145" s="174">
        <f>'[18]Table 5B1_RSD_Orleans'!D16</f>
        <v>3520.4894337711748</v>
      </c>
      <c r="I145" s="174">
        <f>'[18]Table 5B1_RSD_Orleans'!F16</f>
        <v>746.0335616438357</v>
      </c>
      <c r="J145" s="174">
        <f t="shared" si="61"/>
        <v>2133.2614977075054</v>
      </c>
      <c r="K145" s="175">
        <f t="shared" si="62"/>
        <v>-29865.660967905074</v>
      </c>
      <c r="L145" s="174">
        <f t="shared" si="63"/>
        <v>0</v>
      </c>
      <c r="M145" s="174">
        <f t="shared" si="64"/>
        <v>-29865.660967905074</v>
      </c>
    </row>
    <row r="146" spans="1:13" s="206" customFormat="1" ht="14.25" customHeight="1">
      <c r="A146" s="328">
        <v>361001</v>
      </c>
      <c r="B146" s="323" t="s">
        <v>287</v>
      </c>
      <c r="C146" s="166">
        <f>'[17]10.1.13 Type 5 Charters by Site'!D10</f>
        <v>227</v>
      </c>
      <c r="D146" s="162">
        <f>'[17]2.1.14 Type 5 Charters by Site'!D10</f>
        <v>234</v>
      </c>
      <c r="E146" s="163">
        <f t="shared" si="58"/>
        <v>7</v>
      </c>
      <c r="F146" s="163">
        <f t="shared" si="59"/>
        <v>7</v>
      </c>
      <c r="G146" s="163">
        <f t="shared" si="60"/>
        <v>0</v>
      </c>
      <c r="H146" s="167">
        <f>'[18]Table 5B1_RSD_Orleans'!D17</f>
        <v>3520.4894337711748</v>
      </c>
      <c r="I146" s="167">
        <f>'[18]Table 5B1_RSD_Orleans'!F17</f>
        <v>746.0335616438357</v>
      </c>
      <c r="J146" s="167">
        <f t="shared" si="61"/>
        <v>2133.2614977075054</v>
      </c>
      <c r="K146" s="165">
        <f t="shared" si="62"/>
        <v>14932.830483952537</v>
      </c>
      <c r="L146" s="167">
        <f t="shared" si="63"/>
        <v>14932.830483952537</v>
      </c>
      <c r="M146" s="167">
        <f t="shared" si="64"/>
        <v>0</v>
      </c>
    </row>
    <row r="147" spans="1:13" s="206" customFormat="1" ht="14.25" customHeight="1">
      <c r="A147" s="328">
        <v>362001</v>
      </c>
      <c r="B147" s="323" t="s">
        <v>14</v>
      </c>
      <c r="C147" s="166">
        <f>'[17]10.1.13 Type 5 Charters by Site'!D11</f>
        <v>311</v>
      </c>
      <c r="D147" s="162">
        <f>'[17]2.1.14 Type 5 Charters by Site'!D11</f>
        <v>302</v>
      </c>
      <c r="E147" s="163">
        <f t="shared" si="58"/>
        <v>-9</v>
      </c>
      <c r="F147" s="163">
        <f t="shared" si="59"/>
        <v>0</v>
      </c>
      <c r="G147" s="163">
        <f t="shared" si="60"/>
        <v>-9</v>
      </c>
      <c r="H147" s="167">
        <f>'[18]Table 5B1_RSD_Orleans'!D18</f>
        <v>3520.4894337711748</v>
      </c>
      <c r="I147" s="167">
        <f>'[18]Table 5B1_RSD_Orleans'!F18</f>
        <v>746.0335616438357</v>
      </c>
      <c r="J147" s="167">
        <f t="shared" si="61"/>
        <v>2133.2614977075054</v>
      </c>
      <c r="K147" s="165">
        <f t="shared" si="62"/>
        <v>-19199.35347936755</v>
      </c>
      <c r="L147" s="167">
        <f t="shared" si="63"/>
        <v>0</v>
      </c>
      <c r="M147" s="167">
        <f t="shared" si="64"/>
        <v>-19199.35347936755</v>
      </c>
    </row>
    <row r="148" spans="1:13" s="206" customFormat="1" ht="14.25" customHeight="1">
      <c r="A148" s="324">
        <v>363001</v>
      </c>
      <c r="B148" s="323" t="s">
        <v>288</v>
      </c>
      <c r="C148" s="166">
        <f>'[17]10.1.13 Type 5 Charters by Site'!D12</f>
        <v>531</v>
      </c>
      <c r="D148" s="162">
        <f>'[17]2.1.14 Type 5 Charters by Site'!D12</f>
        <v>521</v>
      </c>
      <c r="E148" s="163">
        <f t="shared" si="58"/>
        <v>-10</v>
      </c>
      <c r="F148" s="163">
        <f t="shared" si="59"/>
        <v>0</v>
      </c>
      <c r="G148" s="163">
        <f t="shared" si="60"/>
        <v>-10</v>
      </c>
      <c r="H148" s="167">
        <f>'[18]Table 5B1_RSD_Orleans'!D19</f>
        <v>3520.4894337711748</v>
      </c>
      <c r="I148" s="167">
        <f>'[18]Table 5B1_RSD_Orleans'!F19</f>
        <v>746.0335616438357</v>
      </c>
      <c r="J148" s="167">
        <f t="shared" si="61"/>
        <v>2133.2614977075054</v>
      </c>
      <c r="K148" s="165">
        <f t="shared" si="62"/>
        <v>-21332.614977075056</v>
      </c>
      <c r="L148" s="167">
        <f t="shared" si="63"/>
        <v>0</v>
      </c>
      <c r="M148" s="167">
        <f t="shared" si="64"/>
        <v>-21332.614977075056</v>
      </c>
    </row>
    <row r="149" spans="1:13" s="206" customFormat="1" ht="14.25" customHeight="1">
      <c r="A149" s="324">
        <v>363002</v>
      </c>
      <c r="B149" s="323" t="s">
        <v>289</v>
      </c>
      <c r="C149" s="166">
        <f>'[17]10.1.13 Type 5 Charters by Site'!D13</f>
        <v>338</v>
      </c>
      <c r="D149" s="162">
        <f>'[17]2.1.14 Type 5 Charters by Site'!D13</f>
        <v>369</v>
      </c>
      <c r="E149" s="163">
        <f t="shared" si="58"/>
        <v>31</v>
      </c>
      <c r="F149" s="163">
        <f t="shared" si="59"/>
        <v>31</v>
      </c>
      <c r="G149" s="163">
        <f t="shared" si="60"/>
        <v>0</v>
      </c>
      <c r="H149" s="167">
        <f>'[18]Table 5B1_RSD_Orleans'!D20</f>
        <v>3520.4894337711748</v>
      </c>
      <c r="I149" s="167">
        <f>'[18]Table 5B1_RSD_Orleans'!F20</f>
        <v>746.0335616438357</v>
      </c>
      <c r="J149" s="167">
        <f t="shared" si="61"/>
        <v>2133.2614977075054</v>
      </c>
      <c r="K149" s="165">
        <f t="shared" si="62"/>
        <v>66131.106428932675</v>
      </c>
      <c r="L149" s="167">
        <f t="shared" si="63"/>
        <v>66131.106428932675</v>
      </c>
      <c r="M149" s="167">
        <f t="shared" si="64"/>
        <v>0</v>
      </c>
    </row>
    <row r="150" spans="1:13" s="206" customFormat="1" ht="14.25" customHeight="1">
      <c r="A150" s="329">
        <v>364001</v>
      </c>
      <c r="B150" s="327" t="s">
        <v>290</v>
      </c>
      <c r="C150" s="170">
        <f>'[17]10.1.13 Type 5 Charters by Site'!D14</f>
        <v>541</v>
      </c>
      <c r="D150" s="171">
        <f>'[17]2.1.14 Type 5 Charters by Site'!D14</f>
        <v>548</v>
      </c>
      <c r="E150" s="172">
        <f t="shared" si="58"/>
        <v>7</v>
      </c>
      <c r="F150" s="172">
        <f t="shared" si="59"/>
        <v>7</v>
      </c>
      <c r="G150" s="172">
        <f t="shared" si="60"/>
        <v>0</v>
      </c>
      <c r="H150" s="174">
        <f>'[18]Table 5B1_RSD_Orleans'!D21</f>
        <v>3520.4894337711748</v>
      </c>
      <c r="I150" s="174">
        <f>'[18]Table 5B1_RSD_Orleans'!F21</f>
        <v>746.0335616438357</v>
      </c>
      <c r="J150" s="174">
        <f t="shared" si="61"/>
        <v>2133.2614977075054</v>
      </c>
      <c r="K150" s="175">
        <f t="shared" si="62"/>
        <v>14932.830483952537</v>
      </c>
      <c r="L150" s="174">
        <f t="shared" si="63"/>
        <v>14932.830483952537</v>
      </c>
      <c r="M150" s="174">
        <f t="shared" si="64"/>
        <v>0</v>
      </c>
    </row>
    <row r="151" spans="1:13" s="206" customFormat="1" ht="14.25" customHeight="1">
      <c r="A151" s="324">
        <v>366001</v>
      </c>
      <c r="B151" s="323" t="s">
        <v>291</v>
      </c>
      <c r="C151" s="162">
        <f>'[17]10.1.13 Type 5 Charters by Site'!D15</f>
        <v>162</v>
      </c>
      <c r="D151" s="162">
        <f>'[17]2.1.14 Type 5 Charters by Site'!D15</f>
        <v>164</v>
      </c>
      <c r="E151" s="163">
        <f t="shared" si="58"/>
        <v>2</v>
      </c>
      <c r="F151" s="163">
        <f t="shared" si="59"/>
        <v>2</v>
      </c>
      <c r="G151" s="163">
        <f t="shared" si="60"/>
        <v>0</v>
      </c>
      <c r="H151" s="164">
        <f>'[18]Table 5B1_RSD_Orleans'!D22</f>
        <v>3520.4894337711748</v>
      </c>
      <c r="I151" s="164">
        <f>'[18]Table 5B1_RSD_Orleans'!F22</f>
        <v>746.0335616438357</v>
      </c>
      <c r="J151" s="164">
        <f t="shared" si="61"/>
        <v>2133.2614977075054</v>
      </c>
      <c r="K151" s="165">
        <f t="shared" si="62"/>
        <v>4266.5229954150109</v>
      </c>
      <c r="L151" s="164">
        <f t="shared" si="63"/>
        <v>4266.5229954150109</v>
      </c>
      <c r="M151" s="164">
        <f t="shared" si="64"/>
        <v>0</v>
      </c>
    </row>
    <row r="152" spans="1:13" s="206" customFormat="1" ht="14.25" customHeight="1">
      <c r="A152" s="324">
        <v>367001</v>
      </c>
      <c r="B152" s="323" t="s">
        <v>292</v>
      </c>
      <c r="C152" s="162">
        <f>'[17]10.1.13 Type 5 Charters by Site'!D16</f>
        <v>355</v>
      </c>
      <c r="D152" s="162">
        <f>'[17]2.1.14 Type 5 Charters by Site'!D16</f>
        <v>371</v>
      </c>
      <c r="E152" s="163">
        <f t="shared" si="58"/>
        <v>16</v>
      </c>
      <c r="F152" s="163">
        <f t="shared" si="59"/>
        <v>16</v>
      </c>
      <c r="G152" s="163">
        <f t="shared" si="60"/>
        <v>0</v>
      </c>
      <c r="H152" s="164">
        <f>'[18]Table 5B1_RSD_Orleans'!D23</f>
        <v>3520.4894337711748</v>
      </c>
      <c r="I152" s="164">
        <f>'[18]Table 5B1_RSD_Orleans'!F23</f>
        <v>746.0335616438357</v>
      </c>
      <c r="J152" s="164">
        <f t="shared" si="61"/>
        <v>2133.2614977075054</v>
      </c>
      <c r="K152" s="165">
        <f t="shared" si="62"/>
        <v>34132.183963320087</v>
      </c>
      <c r="L152" s="164">
        <f t="shared" si="63"/>
        <v>34132.183963320087</v>
      </c>
      <c r="M152" s="164">
        <f t="shared" si="64"/>
        <v>0</v>
      </c>
    </row>
    <row r="153" spans="1:13" s="206" customFormat="1" ht="14.25" customHeight="1">
      <c r="A153" s="324">
        <v>368001</v>
      </c>
      <c r="B153" s="323" t="s">
        <v>293</v>
      </c>
      <c r="C153" s="166">
        <f>'[17]10.1.13 Type 5 Charters by Site'!D17</f>
        <v>362</v>
      </c>
      <c r="D153" s="162">
        <f>'[17]2.1.14 Type 5 Charters by Site'!D17</f>
        <v>369</v>
      </c>
      <c r="E153" s="163">
        <f t="shared" si="58"/>
        <v>7</v>
      </c>
      <c r="F153" s="163">
        <f t="shared" si="59"/>
        <v>7</v>
      </c>
      <c r="G153" s="163">
        <f t="shared" si="60"/>
        <v>0</v>
      </c>
      <c r="H153" s="167">
        <f>'[18]Table 5B1_RSD_Orleans'!D24</f>
        <v>3520.4894337711748</v>
      </c>
      <c r="I153" s="167">
        <f>'[18]Table 5B1_RSD_Orleans'!F24</f>
        <v>746.0335616438357</v>
      </c>
      <c r="J153" s="167">
        <f t="shared" si="61"/>
        <v>2133.2614977075054</v>
      </c>
      <c r="K153" s="165">
        <f t="shared" si="62"/>
        <v>14932.830483952537</v>
      </c>
      <c r="L153" s="167">
        <f t="shared" si="63"/>
        <v>14932.830483952537</v>
      </c>
      <c r="M153" s="167">
        <f t="shared" si="64"/>
        <v>0</v>
      </c>
    </row>
    <row r="154" spans="1:13" s="206" customFormat="1" ht="14.25" customHeight="1">
      <c r="A154" s="324">
        <v>369001</v>
      </c>
      <c r="B154" s="323" t="s">
        <v>294</v>
      </c>
      <c r="C154" s="166">
        <f>'[17]10.1.13 Type 5 Charters by Site'!D18+'[17]10.1.13 Type 5 Charters by Site'!D24</f>
        <v>609</v>
      </c>
      <c r="D154" s="162">
        <f>'[17]2.1.14 Type 5 Charters by Site'!D18+'[17]2.1.14 Type 5 Charters by Site'!D24</f>
        <v>611</v>
      </c>
      <c r="E154" s="163">
        <f t="shared" si="58"/>
        <v>2</v>
      </c>
      <c r="F154" s="163">
        <f t="shared" si="59"/>
        <v>2</v>
      </c>
      <c r="G154" s="163">
        <f t="shared" si="60"/>
        <v>0</v>
      </c>
      <c r="H154" s="167">
        <f>'[18]Table 5B1_RSD_Orleans'!D25</f>
        <v>3520.4894337711748</v>
      </c>
      <c r="I154" s="167">
        <f>'[18]Table 5B1_RSD_Orleans'!F25</f>
        <v>746.0335616438357</v>
      </c>
      <c r="J154" s="167">
        <f t="shared" si="61"/>
        <v>2133.2614977075054</v>
      </c>
      <c r="K154" s="165">
        <f t="shared" si="62"/>
        <v>4266.5229954150109</v>
      </c>
      <c r="L154" s="167">
        <f t="shared" si="63"/>
        <v>4266.5229954150109</v>
      </c>
      <c r="M154" s="167">
        <f t="shared" si="64"/>
        <v>0</v>
      </c>
    </row>
    <row r="155" spans="1:13" s="206" customFormat="1" ht="14.25" customHeight="1">
      <c r="A155" s="329">
        <v>369002</v>
      </c>
      <c r="B155" s="327" t="s">
        <v>295</v>
      </c>
      <c r="C155" s="170">
        <f>'[17]10.1.13 Type 5 Charters by Site'!D19</f>
        <v>691</v>
      </c>
      <c r="D155" s="171">
        <f>'[17]2.1.14 Type 5 Charters by Site'!D19</f>
        <v>692</v>
      </c>
      <c r="E155" s="172">
        <f t="shared" si="58"/>
        <v>1</v>
      </c>
      <c r="F155" s="172">
        <f t="shared" si="59"/>
        <v>1</v>
      </c>
      <c r="G155" s="172">
        <f t="shared" si="60"/>
        <v>0</v>
      </c>
      <c r="H155" s="174">
        <f>'[18]Table 5B1_RSD_Orleans'!D26</f>
        <v>3520.4894337711748</v>
      </c>
      <c r="I155" s="174">
        <f>'[18]Table 5B1_RSD_Orleans'!F26</f>
        <v>746.0335616438357</v>
      </c>
      <c r="J155" s="174">
        <f t="shared" si="61"/>
        <v>2133.2614977075054</v>
      </c>
      <c r="K155" s="175">
        <f t="shared" si="62"/>
        <v>2133.2614977075054</v>
      </c>
      <c r="L155" s="173">
        <f t="shared" si="63"/>
        <v>2133.2614977075054</v>
      </c>
      <c r="M155" s="173">
        <f t="shared" si="64"/>
        <v>0</v>
      </c>
    </row>
    <row r="156" spans="1:13" s="206" customFormat="1" ht="14.25" customHeight="1">
      <c r="A156" s="324">
        <v>369003</v>
      </c>
      <c r="B156" s="323" t="s">
        <v>296</v>
      </c>
      <c r="C156" s="166">
        <f>'[17]10.1.13 Type 5 Charters by Site'!D20</f>
        <v>704</v>
      </c>
      <c r="D156" s="162">
        <f>'[17]2.1.14 Type 5 Charters by Site'!D20</f>
        <v>708</v>
      </c>
      <c r="E156" s="163">
        <f t="shared" si="58"/>
        <v>4</v>
      </c>
      <c r="F156" s="163">
        <f t="shared" si="59"/>
        <v>4</v>
      </c>
      <c r="G156" s="163">
        <f t="shared" si="60"/>
        <v>0</v>
      </c>
      <c r="H156" s="167">
        <f>'[18]Table 5B1_RSD_Orleans'!D27</f>
        <v>3520.4894337711748</v>
      </c>
      <c r="I156" s="167">
        <f>'[18]Table 5B1_RSD_Orleans'!F27</f>
        <v>746.0335616438357</v>
      </c>
      <c r="J156" s="167">
        <f t="shared" si="61"/>
        <v>2133.2614977075054</v>
      </c>
      <c r="K156" s="165">
        <f t="shared" si="62"/>
        <v>8533.0459908300218</v>
      </c>
      <c r="L156" s="164">
        <f t="shared" si="63"/>
        <v>8533.0459908300218</v>
      </c>
      <c r="M156" s="164">
        <f t="shared" si="64"/>
        <v>0</v>
      </c>
    </row>
    <row r="157" spans="1:13" ht="14.25" customHeight="1">
      <c r="A157" s="324">
        <v>369004</v>
      </c>
      <c r="B157" s="323" t="s">
        <v>297</v>
      </c>
      <c r="C157" s="166">
        <f>'[17]10.1.13 Type 5 Charters by Site'!D21</f>
        <v>171</v>
      </c>
      <c r="D157" s="162">
        <f>'[17]2.1.14 Type 5 Charters by Site'!D21</f>
        <v>174</v>
      </c>
      <c r="E157" s="163">
        <f t="shared" si="58"/>
        <v>3</v>
      </c>
      <c r="F157" s="163">
        <f t="shared" si="59"/>
        <v>3</v>
      </c>
      <c r="G157" s="163">
        <f t="shared" si="60"/>
        <v>0</v>
      </c>
      <c r="H157" s="167">
        <f>'[18]Table 5B1_RSD_Orleans'!D28</f>
        <v>3520.4894337711748</v>
      </c>
      <c r="I157" s="167">
        <f>'[18]Table 5B1_RSD_Orleans'!F28</f>
        <v>746.0335616438357</v>
      </c>
      <c r="J157" s="167">
        <f t="shared" si="61"/>
        <v>2133.2614977075054</v>
      </c>
      <c r="K157" s="165">
        <f t="shared" si="62"/>
        <v>6399.7844931225163</v>
      </c>
      <c r="L157" s="164">
        <f t="shared" si="63"/>
        <v>6399.7844931225163</v>
      </c>
      <c r="M157" s="164">
        <f t="shared" si="64"/>
        <v>0</v>
      </c>
    </row>
    <row r="158" spans="1:13" ht="14.25" customHeight="1">
      <c r="A158" s="324">
        <v>369005</v>
      </c>
      <c r="B158" s="323" t="s">
        <v>298</v>
      </c>
      <c r="C158" s="166">
        <f>'[17]10.1.13 Type 5 Charters by Site'!D22</f>
        <v>159</v>
      </c>
      <c r="D158" s="162">
        <f>'[17]2.1.14 Type 5 Charters by Site'!D22</f>
        <v>177</v>
      </c>
      <c r="E158" s="163">
        <f t="shared" si="58"/>
        <v>18</v>
      </c>
      <c r="F158" s="163">
        <f t="shared" si="59"/>
        <v>18</v>
      </c>
      <c r="G158" s="163">
        <f t="shared" si="60"/>
        <v>0</v>
      </c>
      <c r="H158" s="167">
        <f>'[18]Table 5B1_RSD_Orleans'!D29</f>
        <v>3520.4894337711748</v>
      </c>
      <c r="I158" s="167">
        <f>'[18]Table 5B1_RSD_Orleans'!F29</f>
        <v>746.0335616438357</v>
      </c>
      <c r="J158" s="167">
        <f t="shared" si="61"/>
        <v>2133.2614977075054</v>
      </c>
      <c r="K158" s="165">
        <f t="shared" si="62"/>
        <v>38398.7069587351</v>
      </c>
      <c r="L158" s="167">
        <f t="shared" si="63"/>
        <v>38398.7069587351</v>
      </c>
      <c r="M158" s="167">
        <f t="shared" si="64"/>
        <v>0</v>
      </c>
    </row>
    <row r="159" spans="1:13" ht="14.25" customHeight="1">
      <c r="A159" s="324">
        <v>369006</v>
      </c>
      <c r="B159" s="323" t="s">
        <v>299</v>
      </c>
      <c r="C159" s="162">
        <f>'[17]10.1.13 Type 5 Charters by Site'!D23</f>
        <v>778</v>
      </c>
      <c r="D159" s="162">
        <f>'[17]2.1.14 Type 5 Charters by Site'!D23</f>
        <v>777</v>
      </c>
      <c r="E159" s="163">
        <f t="shared" si="58"/>
        <v>-1</v>
      </c>
      <c r="F159" s="163">
        <f t="shared" si="59"/>
        <v>0</v>
      </c>
      <c r="G159" s="163">
        <f t="shared" si="60"/>
        <v>-1</v>
      </c>
      <c r="H159" s="164">
        <f>'[18]Table 5B1_RSD_Orleans'!D30</f>
        <v>3520.4894337711748</v>
      </c>
      <c r="I159" s="164">
        <f>'[18]Table 5B1_RSD_Orleans'!F30</f>
        <v>746.0335616438357</v>
      </c>
      <c r="J159" s="164">
        <f t="shared" si="61"/>
        <v>2133.2614977075054</v>
      </c>
      <c r="K159" s="165">
        <f t="shared" si="62"/>
        <v>-2133.2614977075054</v>
      </c>
      <c r="L159" s="164">
        <f t="shared" si="63"/>
        <v>0</v>
      </c>
      <c r="M159" s="164">
        <f t="shared" si="64"/>
        <v>-2133.2614977075054</v>
      </c>
    </row>
    <row r="160" spans="1:13" ht="14.25" customHeight="1">
      <c r="A160" s="329">
        <v>373001</v>
      </c>
      <c r="B160" s="327" t="s">
        <v>300</v>
      </c>
      <c r="C160" s="171">
        <f>'[17]10.1.13 Type 5 Charters by Site'!D26</f>
        <v>446</v>
      </c>
      <c r="D160" s="171">
        <f>'[17]2.1.14 Type 5 Charters by Site'!D25</f>
        <v>450</v>
      </c>
      <c r="E160" s="172">
        <f t="shared" si="58"/>
        <v>4</v>
      </c>
      <c r="F160" s="172">
        <f t="shared" si="59"/>
        <v>4</v>
      </c>
      <c r="G160" s="172">
        <f t="shared" si="60"/>
        <v>0</v>
      </c>
      <c r="H160" s="173">
        <f>'[18]Table 5B1_RSD_Orleans'!D31</f>
        <v>3520.4894337711748</v>
      </c>
      <c r="I160" s="173">
        <f>'[18]Table 5B1_RSD_Orleans'!F31</f>
        <v>746.0335616438357</v>
      </c>
      <c r="J160" s="173">
        <f t="shared" si="61"/>
        <v>2133.2614977075054</v>
      </c>
      <c r="K160" s="175">
        <f t="shared" si="62"/>
        <v>8533.0459908300218</v>
      </c>
      <c r="L160" s="173">
        <f t="shared" si="63"/>
        <v>8533.0459908300218</v>
      </c>
      <c r="M160" s="173">
        <f t="shared" si="64"/>
        <v>0</v>
      </c>
    </row>
    <row r="161" spans="1:13" ht="14.25" customHeight="1">
      <c r="A161" s="324">
        <v>373002</v>
      </c>
      <c r="B161" s="323" t="s">
        <v>301</v>
      </c>
      <c r="C161" s="166">
        <f>'[17]10.1.13 Type 5 Charters by Site'!D27</f>
        <v>379</v>
      </c>
      <c r="D161" s="162">
        <f>'[17]2.1.14 Type 5 Charters by Site'!D26</f>
        <v>379</v>
      </c>
      <c r="E161" s="163">
        <f t="shared" si="58"/>
        <v>0</v>
      </c>
      <c r="F161" s="163">
        <f t="shared" si="59"/>
        <v>0</v>
      </c>
      <c r="G161" s="163">
        <f t="shared" si="60"/>
        <v>0</v>
      </c>
      <c r="H161" s="167">
        <f>'[18]Table 5B1_RSD_Orleans'!D32</f>
        <v>3520.4894337711748</v>
      </c>
      <c r="I161" s="167">
        <f>'[18]Table 5B1_RSD_Orleans'!F32</f>
        <v>746.0335616438357</v>
      </c>
      <c r="J161" s="167">
        <f t="shared" si="61"/>
        <v>2133.2614977075054</v>
      </c>
      <c r="K161" s="165">
        <f t="shared" si="62"/>
        <v>0</v>
      </c>
      <c r="L161" s="167">
        <f t="shared" si="63"/>
        <v>0</v>
      </c>
      <c r="M161" s="167">
        <f t="shared" si="64"/>
        <v>0</v>
      </c>
    </row>
    <row r="162" spans="1:13" ht="14.25" customHeight="1">
      <c r="A162" s="324">
        <v>374001</v>
      </c>
      <c r="B162" s="323" t="s">
        <v>302</v>
      </c>
      <c r="C162" s="166">
        <f>'[17]10.1.13 Type 5 Charters by Site'!D28</f>
        <v>457</v>
      </c>
      <c r="D162" s="162">
        <f>'[17]2.1.14 Type 5 Charters by Site'!D27</f>
        <v>467</v>
      </c>
      <c r="E162" s="163">
        <f t="shared" si="58"/>
        <v>10</v>
      </c>
      <c r="F162" s="163">
        <f t="shared" si="59"/>
        <v>10</v>
      </c>
      <c r="G162" s="163">
        <f t="shared" si="60"/>
        <v>0</v>
      </c>
      <c r="H162" s="167">
        <f>'[18]Table 5B1_RSD_Orleans'!D33</f>
        <v>3520.4894337711748</v>
      </c>
      <c r="I162" s="167">
        <f>'[18]Table 5B1_RSD_Orleans'!F33</f>
        <v>746.0335616438357</v>
      </c>
      <c r="J162" s="167">
        <f t="shared" si="61"/>
        <v>2133.2614977075054</v>
      </c>
      <c r="K162" s="165">
        <f t="shared" si="62"/>
        <v>21332.614977075056</v>
      </c>
      <c r="L162" s="167">
        <f t="shared" si="63"/>
        <v>21332.614977075056</v>
      </c>
      <c r="M162" s="167">
        <f t="shared" si="64"/>
        <v>0</v>
      </c>
    </row>
    <row r="163" spans="1:13" ht="14.25" customHeight="1">
      <c r="A163" s="324">
        <v>381001</v>
      </c>
      <c r="B163" s="323" t="s">
        <v>303</v>
      </c>
      <c r="C163" s="166">
        <f>'[17]10.1.13 Type 5 Charters by Site'!D29</f>
        <v>472</v>
      </c>
      <c r="D163" s="162">
        <f>'[17]2.1.14 Type 5 Charters by Site'!D28</f>
        <v>482</v>
      </c>
      <c r="E163" s="163">
        <f t="shared" si="58"/>
        <v>10</v>
      </c>
      <c r="F163" s="163">
        <f t="shared" si="59"/>
        <v>10</v>
      </c>
      <c r="G163" s="163">
        <f t="shared" si="60"/>
        <v>0</v>
      </c>
      <c r="H163" s="167">
        <f>'[18]Table 5B1_RSD_Orleans'!D34</f>
        <v>3520.4894337711748</v>
      </c>
      <c r="I163" s="167">
        <f>'[18]Table 5B1_RSD_Orleans'!F34</f>
        <v>743.65689655172423</v>
      </c>
      <c r="J163" s="167">
        <f t="shared" si="61"/>
        <v>2132.0731651614497</v>
      </c>
      <c r="K163" s="165">
        <f t="shared" si="62"/>
        <v>21320.731651614497</v>
      </c>
      <c r="L163" s="167">
        <f t="shared" si="63"/>
        <v>21320.731651614497</v>
      </c>
      <c r="M163" s="167">
        <f t="shared" si="64"/>
        <v>0</v>
      </c>
    </row>
    <row r="164" spans="1:13" s="330" customFormat="1" ht="14.25" customHeight="1">
      <c r="A164" s="324">
        <v>382001</v>
      </c>
      <c r="B164" s="323" t="s">
        <v>304</v>
      </c>
      <c r="C164" s="162">
        <f>'[17]10.1.13 Type 5 Charters by Site'!D30</f>
        <v>442</v>
      </c>
      <c r="D164" s="162">
        <f>'[17]2.1.14 Type 5 Charters by Site'!D29</f>
        <v>433</v>
      </c>
      <c r="E164" s="163">
        <f t="shared" si="58"/>
        <v>-9</v>
      </c>
      <c r="F164" s="163">
        <f t="shared" si="59"/>
        <v>0</v>
      </c>
      <c r="G164" s="163">
        <f t="shared" si="60"/>
        <v>-9</v>
      </c>
      <c r="H164" s="164">
        <f>'[18]Table 5B1_RSD_Orleans'!D35</f>
        <v>3520.4894337711748</v>
      </c>
      <c r="I164" s="164">
        <f>'[18]Table 5B1_RSD_Orleans'!F35</f>
        <v>783.54939759036142</v>
      </c>
      <c r="J164" s="164">
        <f t="shared" si="61"/>
        <v>2152.0194156807684</v>
      </c>
      <c r="K164" s="165">
        <f t="shared" si="62"/>
        <v>-19368.174741126917</v>
      </c>
      <c r="L164" s="164">
        <f t="shared" si="63"/>
        <v>0</v>
      </c>
      <c r="M164" s="164">
        <f t="shared" si="64"/>
        <v>-19368.174741126917</v>
      </c>
    </row>
    <row r="165" spans="1:13" s="330" customFormat="1" ht="14.25" customHeight="1">
      <c r="A165" s="324">
        <v>382002</v>
      </c>
      <c r="B165" s="325" t="s">
        <v>305</v>
      </c>
      <c r="C165" s="162">
        <f>'[17]10.1.13 Type 5 Charters by Site'!D31</f>
        <v>214</v>
      </c>
      <c r="D165" s="162">
        <f>'[17]2.1.14 Type 5 Charters by Site'!D30</f>
        <v>202</v>
      </c>
      <c r="E165" s="163">
        <f t="shared" si="58"/>
        <v>-12</v>
      </c>
      <c r="F165" s="163">
        <f t="shared" si="59"/>
        <v>0</v>
      </c>
      <c r="G165" s="163">
        <f t="shared" si="60"/>
        <v>-12</v>
      </c>
      <c r="H165" s="164">
        <f>'[18]Table 5B1_RSD_Orleans'!D36</f>
        <v>3520.4894337711748</v>
      </c>
      <c r="I165" s="164">
        <f>'[18]Table 5B1_RSD_Orleans'!F36</f>
        <v>746.0335616438357</v>
      </c>
      <c r="J165" s="164">
        <f t="shared" si="61"/>
        <v>2133.2614977075054</v>
      </c>
      <c r="K165" s="165">
        <f t="shared" si="62"/>
        <v>-25599.137972490065</v>
      </c>
      <c r="L165" s="164">
        <f t="shared" si="63"/>
        <v>0</v>
      </c>
      <c r="M165" s="164">
        <f t="shared" si="64"/>
        <v>-25599.137972490065</v>
      </c>
    </row>
    <row r="166" spans="1:13" s="330" customFormat="1" ht="14.25" customHeight="1">
      <c r="A166" s="331">
        <v>382003</v>
      </c>
      <c r="B166" s="332" t="s">
        <v>306</v>
      </c>
      <c r="C166" s="180">
        <f>'[17]10.1.13 Type 5 Charters by Site'!D32</f>
        <v>197</v>
      </c>
      <c r="D166" s="196">
        <f>'[17]2.1.14 Type 5 Charters by Site'!D31</f>
        <v>186</v>
      </c>
      <c r="E166" s="333">
        <f t="shared" si="58"/>
        <v>-11</v>
      </c>
      <c r="F166" s="333">
        <f t="shared" si="59"/>
        <v>0</v>
      </c>
      <c r="G166" s="333">
        <f t="shared" si="60"/>
        <v>-11</v>
      </c>
      <c r="H166" s="334">
        <f>'[18]Table 5B1_RSD_Orleans'!D37</f>
        <v>3520.4894337711748</v>
      </c>
      <c r="I166" s="334">
        <f>'[18]Table 5B1_RSD_Orleans'!F37</f>
        <v>746.0335616438357</v>
      </c>
      <c r="J166" s="334">
        <f t="shared" si="61"/>
        <v>2133.2614977075054</v>
      </c>
      <c r="K166" s="335">
        <f t="shared" si="62"/>
        <v>-23465.876474782559</v>
      </c>
      <c r="L166" s="334">
        <f t="shared" si="63"/>
        <v>0</v>
      </c>
      <c r="M166" s="334">
        <f t="shared" si="64"/>
        <v>-23465.876474782559</v>
      </c>
    </row>
    <row r="167" spans="1:13" s="330" customFormat="1" ht="14.25" customHeight="1">
      <c r="A167" s="328">
        <v>384001</v>
      </c>
      <c r="B167" s="323" t="s">
        <v>307</v>
      </c>
      <c r="C167" s="166">
        <f>'[17]10.1.13 Type 5 Charters by Site'!D33</f>
        <v>325</v>
      </c>
      <c r="D167" s="162">
        <f>'[17]2.1.14 Type 5 Charters by Site'!D32</f>
        <v>326</v>
      </c>
      <c r="E167" s="163">
        <f t="shared" si="58"/>
        <v>1</v>
      </c>
      <c r="F167" s="163">
        <f t="shared" si="59"/>
        <v>1</v>
      </c>
      <c r="G167" s="163">
        <f t="shared" si="60"/>
        <v>0</v>
      </c>
      <c r="H167" s="167">
        <f>'[18]Table 5B1_RSD_Orleans'!D38</f>
        <v>3520.4894337711748</v>
      </c>
      <c r="I167" s="167">
        <f>'[18]Table 5B1_RSD_Orleans'!F38</f>
        <v>735.82244897959185</v>
      </c>
      <c r="J167" s="167">
        <f t="shared" si="61"/>
        <v>2128.1559413753835</v>
      </c>
      <c r="K167" s="165">
        <f t="shared" si="62"/>
        <v>2128.1559413753835</v>
      </c>
      <c r="L167" s="167">
        <f t="shared" si="63"/>
        <v>2128.1559413753835</v>
      </c>
      <c r="M167" s="167">
        <f t="shared" si="64"/>
        <v>0</v>
      </c>
    </row>
    <row r="168" spans="1:13" s="330" customFormat="1" ht="14.25" customHeight="1">
      <c r="A168" s="324">
        <v>385001</v>
      </c>
      <c r="B168" s="323" t="s">
        <v>308</v>
      </c>
      <c r="C168" s="166">
        <f>'[17]10.1.13 Type 5 Charters by Site'!D34</f>
        <v>320</v>
      </c>
      <c r="D168" s="162">
        <f>'[17]2.1.14 Type 5 Charters by Site'!D33</f>
        <v>322</v>
      </c>
      <c r="E168" s="163">
        <f t="shared" si="58"/>
        <v>2</v>
      </c>
      <c r="F168" s="163">
        <f t="shared" si="59"/>
        <v>2</v>
      </c>
      <c r="G168" s="163">
        <f t="shared" si="60"/>
        <v>0</v>
      </c>
      <c r="H168" s="167">
        <f>'[18]Table 5B1_RSD_Orleans'!D39</f>
        <v>3520.4894337711748</v>
      </c>
      <c r="I168" s="167">
        <f>'[18]Table 5B1_RSD_Orleans'!F39</f>
        <v>618.75651162790689</v>
      </c>
      <c r="J168" s="167">
        <f t="shared" si="61"/>
        <v>2069.6229726995407</v>
      </c>
      <c r="K168" s="165">
        <f t="shared" si="62"/>
        <v>4139.2459453990814</v>
      </c>
      <c r="L168" s="167">
        <f t="shared" si="63"/>
        <v>4139.2459453990814</v>
      </c>
      <c r="M168" s="167">
        <f t="shared" si="64"/>
        <v>0</v>
      </c>
    </row>
    <row r="169" spans="1:13" s="330" customFormat="1" ht="14.25" customHeight="1">
      <c r="A169" s="324">
        <v>385002</v>
      </c>
      <c r="B169" s="323" t="s">
        <v>309</v>
      </c>
      <c r="C169" s="166">
        <f>'[17]10.1.13 Type 5 Charters by Site'!D35</f>
        <v>518</v>
      </c>
      <c r="D169" s="162">
        <f>'[17]2.1.14 Type 5 Charters by Site'!D34</f>
        <v>493</v>
      </c>
      <c r="E169" s="163">
        <f t="shared" si="58"/>
        <v>-25</v>
      </c>
      <c r="F169" s="163">
        <f t="shared" si="59"/>
        <v>0</v>
      </c>
      <c r="G169" s="163">
        <f t="shared" si="60"/>
        <v>-25</v>
      </c>
      <c r="H169" s="167">
        <f>'[18]Table 5B1_RSD_Orleans'!D40</f>
        <v>3520.4894337711748</v>
      </c>
      <c r="I169" s="167">
        <f>'[18]Table 5B1_RSD_Orleans'!F40</f>
        <v>746.0335616438357</v>
      </c>
      <c r="J169" s="167">
        <f t="shared" si="61"/>
        <v>2133.2614977075054</v>
      </c>
      <c r="K169" s="165">
        <f t="shared" si="62"/>
        <v>-53331.537442687637</v>
      </c>
      <c r="L169" s="167">
        <f t="shared" si="63"/>
        <v>0</v>
      </c>
      <c r="M169" s="167">
        <f t="shared" si="64"/>
        <v>-53331.537442687637</v>
      </c>
    </row>
    <row r="170" spans="1:13" s="330" customFormat="1" ht="14.25" customHeight="1">
      <c r="A170" s="326">
        <v>385003</v>
      </c>
      <c r="B170" s="327" t="s">
        <v>310</v>
      </c>
      <c r="C170" s="170">
        <f>'[17]10.1.13 Type 5 Charters by Site'!D36</f>
        <v>276</v>
      </c>
      <c r="D170" s="171">
        <f>'[17]2.1.14 Type 5 Charters by Site'!D35</f>
        <v>278</v>
      </c>
      <c r="E170" s="172">
        <f t="shared" si="58"/>
        <v>2</v>
      </c>
      <c r="F170" s="172">
        <f t="shared" si="59"/>
        <v>2</v>
      </c>
      <c r="G170" s="172">
        <f t="shared" si="60"/>
        <v>0</v>
      </c>
      <c r="H170" s="174">
        <f>'[18]Table 5B1_RSD_Orleans'!D41</f>
        <v>3520.4894337711748</v>
      </c>
      <c r="I170" s="174">
        <f>'[18]Table 5B1_RSD_Orleans'!F41</f>
        <v>746.0335616438357</v>
      </c>
      <c r="J170" s="174">
        <f t="shared" si="61"/>
        <v>2133.2614977075054</v>
      </c>
      <c r="K170" s="175">
        <f t="shared" si="62"/>
        <v>4266.5229954150109</v>
      </c>
      <c r="L170" s="174">
        <f t="shared" si="63"/>
        <v>4266.5229954150109</v>
      </c>
      <c r="M170" s="174">
        <f t="shared" si="64"/>
        <v>0</v>
      </c>
    </row>
    <row r="171" spans="1:13" s="330" customFormat="1" ht="14.25" customHeight="1">
      <c r="A171" s="324">
        <v>388001</v>
      </c>
      <c r="B171" s="323" t="s">
        <v>311</v>
      </c>
      <c r="C171" s="162">
        <f>'[17]10.1.13 Type 5 Charters by Site'!D37</f>
        <v>596</v>
      </c>
      <c r="D171" s="162">
        <f>'[17]2.1.14 Type 5 Charters by Site'!D36</f>
        <v>599</v>
      </c>
      <c r="E171" s="163">
        <f t="shared" si="58"/>
        <v>3</v>
      </c>
      <c r="F171" s="163">
        <f t="shared" si="59"/>
        <v>3</v>
      </c>
      <c r="G171" s="163">
        <f t="shared" si="60"/>
        <v>0</v>
      </c>
      <c r="H171" s="164">
        <f>'[18]Table 5B1_RSD_Orleans'!D42</f>
        <v>3520.4894337711748</v>
      </c>
      <c r="I171" s="164">
        <f>'[18]Table 5B1_RSD_Orleans'!F42</f>
        <v>708.2132751810401</v>
      </c>
      <c r="J171" s="164">
        <f t="shared" si="61"/>
        <v>2114.3513544761076</v>
      </c>
      <c r="K171" s="165">
        <f t="shared" si="62"/>
        <v>6343.0540634283225</v>
      </c>
      <c r="L171" s="164">
        <f t="shared" si="63"/>
        <v>6343.0540634283225</v>
      </c>
      <c r="M171" s="164">
        <f t="shared" si="64"/>
        <v>0</v>
      </c>
    </row>
    <row r="172" spans="1:13" s="330" customFormat="1" ht="14.25" customHeight="1">
      <c r="A172" s="324">
        <v>390001</v>
      </c>
      <c r="B172" s="323" t="s">
        <v>312</v>
      </c>
      <c r="C172" s="166">
        <f>'[17]10.1.13 Type 5 Charters by Site'!D39</f>
        <v>531</v>
      </c>
      <c r="D172" s="162">
        <f>'[17]2.1.14 Type 5 Charters by Site'!D37</f>
        <v>511</v>
      </c>
      <c r="E172" s="163">
        <f t="shared" si="58"/>
        <v>-20</v>
      </c>
      <c r="F172" s="163">
        <f t="shared" si="59"/>
        <v>0</v>
      </c>
      <c r="G172" s="163">
        <f t="shared" si="60"/>
        <v>-20</v>
      </c>
      <c r="H172" s="167">
        <f>'[18]Table 5B1_RSD_Orleans'!D43</f>
        <v>3520.4894337711748</v>
      </c>
      <c r="I172" s="167">
        <f>'[18]Table 5B1_RSD_Orleans'!F43</f>
        <v>650.55234865477053</v>
      </c>
      <c r="J172" s="167">
        <f t="shared" si="61"/>
        <v>2085.5208912129729</v>
      </c>
      <c r="K172" s="165">
        <f t="shared" si="62"/>
        <v>-41710.417824259457</v>
      </c>
      <c r="L172" s="167">
        <f t="shared" si="63"/>
        <v>0</v>
      </c>
      <c r="M172" s="167">
        <f t="shared" si="64"/>
        <v>-41710.417824259457</v>
      </c>
    </row>
    <row r="173" spans="1:13" s="330" customFormat="1" ht="14.25" customHeight="1">
      <c r="A173" s="324">
        <v>391001</v>
      </c>
      <c r="B173" s="323" t="s">
        <v>313</v>
      </c>
      <c r="C173" s="166">
        <f>'[17]10.1.13 Type 5 Charters by Site'!D40</f>
        <v>723</v>
      </c>
      <c r="D173" s="162">
        <f>'[17]2.1.14 Type 5 Charters by Site'!D38</f>
        <v>738</v>
      </c>
      <c r="E173" s="163">
        <f t="shared" si="58"/>
        <v>15</v>
      </c>
      <c r="F173" s="163">
        <f t="shared" si="59"/>
        <v>15</v>
      </c>
      <c r="G173" s="163">
        <f t="shared" si="60"/>
        <v>0</v>
      </c>
      <c r="H173" s="167">
        <f>'[18]Table 5B1_RSD_Orleans'!D44</f>
        <v>3520.4894337711748</v>
      </c>
      <c r="I173" s="167">
        <f>'[18]Table 5B1_RSD_Orleans'!F44</f>
        <v>721.28337970262919</v>
      </c>
      <c r="J173" s="167">
        <f t="shared" si="61"/>
        <v>2120.8864067369022</v>
      </c>
      <c r="K173" s="165">
        <f t="shared" si="62"/>
        <v>31813.296101053533</v>
      </c>
      <c r="L173" s="167">
        <f t="shared" si="63"/>
        <v>31813.296101053533</v>
      </c>
      <c r="M173" s="167">
        <f t="shared" si="64"/>
        <v>0</v>
      </c>
    </row>
    <row r="174" spans="1:13" s="330" customFormat="1" ht="14.25" customHeight="1">
      <c r="A174" s="328">
        <v>391002</v>
      </c>
      <c r="B174" s="323" t="s">
        <v>314</v>
      </c>
      <c r="C174" s="166">
        <f>'[17]10.1.13 Type 5 Charters by Site'!D41</f>
        <v>369</v>
      </c>
      <c r="D174" s="162">
        <f>'[17]2.1.14 Type 5 Charters by Site'!D39</f>
        <v>377</v>
      </c>
      <c r="E174" s="163">
        <f t="shared" si="58"/>
        <v>8</v>
      </c>
      <c r="F174" s="163">
        <f t="shared" si="59"/>
        <v>8</v>
      </c>
      <c r="G174" s="163">
        <f t="shared" si="60"/>
        <v>0</v>
      </c>
      <c r="H174" s="167">
        <f>'[18]Table 5B1_RSD_Orleans'!D45</f>
        <v>3520.4894337711748</v>
      </c>
      <c r="I174" s="167">
        <f>'[18]Table 5B1_RSD_Orleans'!F45</f>
        <v>746.0335616438357</v>
      </c>
      <c r="J174" s="167">
        <f t="shared" si="61"/>
        <v>2133.2614977075054</v>
      </c>
      <c r="K174" s="165">
        <f t="shared" si="62"/>
        <v>17066.091981660044</v>
      </c>
      <c r="L174" s="167">
        <f t="shared" si="63"/>
        <v>17066.091981660044</v>
      </c>
      <c r="M174" s="167">
        <f t="shared" si="64"/>
        <v>0</v>
      </c>
    </row>
    <row r="175" spans="1:13" s="330" customFormat="1" ht="14.25" customHeight="1">
      <c r="A175" s="324">
        <v>392001</v>
      </c>
      <c r="B175" s="323" t="s">
        <v>315</v>
      </c>
      <c r="C175" s="162">
        <f>'[17]10.1.13 Type 5 Charters by Site'!D42</f>
        <v>447</v>
      </c>
      <c r="D175" s="162">
        <f>'[17]2.1.14 Type 5 Charters by Site'!D40</f>
        <v>449</v>
      </c>
      <c r="E175" s="163">
        <f t="shared" si="58"/>
        <v>2</v>
      </c>
      <c r="F175" s="163">
        <f t="shared" si="59"/>
        <v>2</v>
      </c>
      <c r="G175" s="163">
        <f t="shared" si="60"/>
        <v>0</v>
      </c>
      <c r="H175" s="164">
        <f>'[18]Table 5B1_RSD_Orleans'!D46</f>
        <v>3520.4894337711748</v>
      </c>
      <c r="I175" s="164">
        <f>'[18]Table 5B1_RSD_Orleans'!F46</f>
        <v>600.21655982905986</v>
      </c>
      <c r="J175" s="164">
        <f t="shared" si="61"/>
        <v>2060.3529968001176</v>
      </c>
      <c r="K175" s="165">
        <f t="shared" si="62"/>
        <v>4120.7059936002352</v>
      </c>
      <c r="L175" s="164">
        <f t="shared" si="63"/>
        <v>4120.7059936002352</v>
      </c>
      <c r="M175" s="164">
        <f t="shared" si="64"/>
        <v>0</v>
      </c>
    </row>
    <row r="176" spans="1:13" s="330" customFormat="1" ht="14.25" customHeight="1">
      <c r="A176" s="336">
        <v>393001</v>
      </c>
      <c r="B176" s="337" t="s">
        <v>316</v>
      </c>
      <c r="C176" s="196">
        <f>'[17]10.1.13 Type 5 Charters by Site'!D43</f>
        <v>882</v>
      </c>
      <c r="D176" s="196">
        <f>'[17]2.1.14 Type 5 Charters by Site'!D41</f>
        <v>880</v>
      </c>
      <c r="E176" s="333">
        <f t="shared" si="58"/>
        <v>-2</v>
      </c>
      <c r="F176" s="333">
        <f t="shared" si="59"/>
        <v>0</v>
      </c>
      <c r="G176" s="333">
        <f t="shared" si="60"/>
        <v>-2</v>
      </c>
      <c r="H176" s="198">
        <f>'[18]Table 5B1_RSD_Orleans'!D47</f>
        <v>3520.4894337711748</v>
      </c>
      <c r="I176" s="198">
        <f>'[18]Table 5B1_RSD_Orleans'!F47</f>
        <v>776.90344307346322</v>
      </c>
      <c r="J176" s="198">
        <f t="shared" si="61"/>
        <v>2148.6964384223193</v>
      </c>
      <c r="K176" s="335">
        <f t="shared" si="62"/>
        <v>-4297.3928768446385</v>
      </c>
      <c r="L176" s="198">
        <f t="shared" si="63"/>
        <v>0</v>
      </c>
      <c r="M176" s="198">
        <f t="shared" si="64"/>
        <v>-4297.3928768446385</v>
      </c>
    </row>
    <row r="177" spans="1:13" s="330" customFormat="1" ht="14.25" customHeight="1">
      <c r="A177" s="324">
        <v>393002</v>
      </c>
      <c r="B177" s="323" t="s">
        <v>317</v>
      </c>
      <c r="C177" s="166">
        <f>'[17]10.1.13 Type 5 Charters by Site'!D44</f>
        <v>472</v>
      </c>
      <c r="D177" s="162">
        <f>'[17]2.1.14 Type 5 Charters by Site'!D42</f>
        <v>484</v>
      </c>
      <c r="E177" s="163">
        <f t="shared" si="58"/>
        <v>12</v>
      </c>
      <c r="F177" s="163">
        <f t="shared" si="59"/>
        <v>12</v>
      </c>
      <c r="G177" s="163">
        <f t="shared" si="60"/>
        <v>0</v>
      </c>
      <c r="H177" s="167">
        <f>'[18]Table 5B1_RSD_Orleans'!D48</f>
        <v>3520.4894337711748</v>
      </c>
      <c r="I177" s="167">
        <f>'[18]Table 5B1_RSD_Orleans'!F48</f>
        <v>642.89065513553726</v>
      </c>
      <c r="J177" s="167">
        <f t="shared" si="61"/>
        <v>2081.6900444533562</v>
      </c>
      <c r="K177" s="165">
        <f t="shared" si="62"/>
        <v>24980.280533440273</v>
      </c>
      <c r="L177" s="167">
        <f t="shared" si="63"/>
        <v>24980.280533440273</v>
      </c>
      <c r="M177" s="167">
        <f t="shared" si="64"/>
        <v>0</v>
      </c>
    </row>
    <row r="178" spans="1:13" s="330" customFormat="1" ht="14.25" customHeight="1">
      <c r="A178" s="328">
        <v>393003</v>
      </c>
      <c r="B178" s="323" t="s">
        <v>318</v>
      </c>
      <c r="C178" s="166">
        <f>'[17]10.1.13 Type 5 Charters by Site'!D45</f>
        <v>442</v>
      </c>
      <c r="D178" s="162">
        <f>'[17]2.1.14 Type 5 Charters by Site'!D43</f>
        <v>439</v>
      </c>
      <c r="E178" s="163">
        <f t="shared" si="58"/>
        <v>-3</v>
      </c>
      <c r="F178" s="163">
        <f t="shared" si="59"/>
        <v>0</v>
      </c>
      <c r="G178" s="163">
        <f t="shared" si="60"/>
        <v>-3</v>
      </c>
      <c r="H178" s="167">
        <f>'[18]Table 5B1_RSD_Orleans'!D49</f>
        <v>3520.4894337711748</v>
      </c>
      <c r="I178" s="167">
        <f>'[18]Table 5B1_RSD_Orleans'!F49</f>
        <v>746.0335616438357</v>
      </c>
      <c r="J178" s="167">
        <f t="shared" si="61"/>
        <v>2133.2614977075054</v>
      </c>
      <c r="K178" s="165">
        <f t="shared" si="62"/>
        <v>-6399.7844931225163</v>
      </c>
      <c r="L178" s="167">
        <f t="shared" si="63"/>
        <v>0</v>
      </c>
      <c r="M178" s="167">
        <f t="shared" si="64"/>
        <v>-6399.7844931225163</v>
      </c>
    </row>
    <row r="179" spans="1:13" s="330" customFormat="1" ht="14.25" customHeight="1">
      <c r="A179" s="324">
        <v>395001</v>
      </c>
      <c r="B179" s="323" t="s">
        <v>319</v>
      </c>
      <c r="C179" s="166">
        <f>'[17]10.1.13 Type 5 Charters by Site'!D46</f>
        <v>679</v>
      </c>
      <c r="D179" s="162">
        <f>'[17]2.1.14 Type 5 Charters by Site'!D44</f>
        <v>686</v>
      </c>
      <c r="E179" s="163">
        <f t="shared" si="58"/>
        <v>7</v>
      </c>
      <c r="F179" s="163">
        <f t="shared" si="59"/>
        <v>7</v>
      </c>
      <c r="G179" s="163">
        <f t="shared" si="60"/>
        <v>0</v>
      </c>
      <c r="H179" s="167">
        <f>'[18]Table 5B1_RSD_Orleans'!D50</f>
        <v>3520.4894337711748</v>
      </c>
      <c r="I179" s="167">
        <f>'[18]Table 5B1_RSD_Orleans'!F50</f>
        <v>678.38194087511556</v>
      </c>
      <c r="J179" s="167">
        <f t="shared" si="61"/>
        <v>2099.4356873231454</v>
      </c>
      <c r="K179" s="165">
        <f t="shared" si="62"/>
        <v>14696.049811262019</v>
      </c>
      <c r="L179" s="167">
        <f t="shared" si="63"/>
        <v>14696.049811262019</v>
      </c>
      <c r="M179" s="167">
        <f t="shared" si="64"/>
        <v>0</v>
      </c>
    </row>
    <row r="180" spans="1:13" s="330" customFormat="1" ht="14.25" customHeight="1">
      <c r="A180" s="329">
        <v>395002</v>
      </c>
      <c r="B180" s="327" t="s">
        <v>320</v>
      </c>
      <c r="C180" s="171">
        <f>'[17]10.1.13 Type 5 Charters by Site'!D47</f>
        <v>765</v>
      </c>
      <c r="D180" s="171">
        <f>'[17]2.1.14 Type 5 Charters by Site'!D45</f>
        <v>778</v>
      </c>
      <c r="E180" s="172">
        <f t="shared" si="58"/>
        <v>13</v>
      </c>
      <c r="F180" s="172">
        <f t="shared" si="59"/>
        <v>13</v>
      </c>
      <c r="G180" s="172">
        <f t="shared" si="60"/>
        <v>0</v>
      </c>
      <c r="H180" s="173">
        <f>'[18]Table 5B1_RSD_Orleans'!D51</f>
        <v>3520.4894337711748</v>
      </c>
      <c r="I180" s="173">
        <f>'[18]Table 5B1_RSD_Orleans'!F51</f>
        <v>686.92241021135874</v>
      </c>
      <c r="J180" s="173">
        <f t="shared" si="61"/>
        <v>2103.7059219912667</v>
      </c>
      <c r="K180" s="175">
        <f t="shared" si="62"/>
        <v>27348.176985886468</v>
      </c>
      <c r="L180" s="173">
        <f t="shared" si="63"/>
        <v>27348.176985886468</v>
      </c>
      <c r="M180" s="173">
        <f t="shared" si="64"/>
        <v>0</v>
      </c>
    </row>
    <row r="181" spans="1:13" s="330" customFormat="1" ht="14.25" customHeight="1">
      <c r="A181" s="324">
        <v>395003</v>
      </c>
      <c r="B181" s="323" t="s">
        <v>321</v>
      </c>
      <c r="C181" s="162">
        <f>'[17]10.1.13 Type 5 Charters by Site'!D48</f>
        <v>612</v>
      </c>
      <c r="D181" s="162">
        <f>'[17]2.1.14 Type 5 Charters by Site'!D46</f>
        <v>616</v>
      </c>
      <c r="E181" s="163">
        <f t="shared" si="58"/>
        <v>4</v>
      </c>
      <c r="F181" s="163">
        <f t="shared" si="59"/>
        <v>4</v>
      </c>
      <c r="G181" s="163">
        <f t="shared" si="60"/>
        <v>0</v>
      </c>
      <c r="H181" s="164">
        <f>'[18]Table 5B1_RSD_Orleans'!D52</f>
        <v>3520.4894337711748</v>
      </c>
      <c r="I181" s="164">
        <f>'[18]Table 5B1_RSD_Orleans'!F52</f>
        <v>761.3587570202327</v>
      </c>
      <c r="J181" s="164">
        <f t="shared" si="61"/>
        <v>2140.9240953957037</v>
      </c>
      <c r="K181" s="165">
        <f t="shared" si="62"/>
        <v>8563.6963815828149</v>
      </c>
      <c r="L181" s="164">
        <f t="shared" si="63"/>
        <v>8563.6963815828149</v>
      </c>
      <c r="M181" s="164">
        <f t="shared" si="64"/>
        <v>0</v>
      </c>
    </row>
    <row r="182" spans="1:13" s="330" customFormat="1" ht="13.5" customHeight="1">
      <c r="A182" s="324">
        <v>395004</v>
      </c>
      <c r="B182" s="323" t="s">
        <v>322</v>
      </c>
      <c r="C182" s="166">
        <f>'[17]10.1.13 Type 5 Charters by Site'!D49</f>
        <v>544</v>
      </c>
      <c r="D182" s="162">
        <f>'[17]2.1.14 Type 5 Charters by Site'!D47</f>
        <v>564</v>
      </c>
      <c r="E182" s="163">
        <f t="shared" si="58"/>
        <v>20</v>
      </c>
      <c r="F182" s="163">
        <f t="shared" si="59"/>
        <v>20</v>
      </c>
      <c r="G182" s="163">
        <f t="shared" si="60"/>
        <v>0</v>
      </c>
      <c r="H182" s="167">
        <f>'[18]Table 5B1_RSD_Orleans'!D53</f>
        <v>3520.4894337711748</v>
      </c>
      <c r="I182" s="167">
        <f>'[18]Table 5B1_RSD_Orleans'!F53</f>
        <v>1003.4698393033485</v>
      </c>
      <c r="J182" s="167">
        <f t="shared" si="61"/>
        <v>2261.9796365372617</v>
      </c>
      <c r="K182" s="165">
        <f t="shared" si="62"/>
        <v>45239.592730745237</v>
      </c>
      <c r="L182" s="167">
        <f t="shared" si="63"/>
        <v>45239.592730745237</v>
      </c>
      <c r="M182" s="167">
        <f t="shared" si="64"/>
        <v>0</v>
      </c>
    </row>
    <row r="183" spans="1:13" s="330" customFormat="1" ht="13.5" customHeight="1">
      <c r="A183" s="324">
        <v>395005</v>
      </c>
      <c r="B183" s="325" t="s">
        <v>323</v>
      </c>
      <c r="C183" s="166">
        <f>'[17]10.1.13 Type 5 Charters by Site'!D50</f>
        <v>1173</v>
      </c>
      <c r="D183" s="162">
        <f>'[17]2.1.14 Type 5 Charters by Site'!D48</f>
        <v>1170</v>
      </c>
      <c r="E183" s="163">
        <f t="shared" si="58"/>
        <v>-3</v>
      </c>
      <c r="F183" s="163">
        <f t="shared" si="59"/>
        <v>0</v>
      </c>
      <c r="G183" s="163">
        <f t="shared" si="60"/>
        <v>-3</v>
      </c>
      <c r="H183" s="167">
        <f>'[18]Table 5B1_RSD_Orleans'!D54</f>
        <v>3520.4894337711748</v>
      </c>
      <c r="I183" s="167">
        <f>'[18]Table 5B1_RSD_Orleans'!F54</f>
        <v>592.05529010815155</v>
      </c>
      <c r="J183" s="167">
        <f t="shared" si="61"/>
        <v>2056.2723619396634</v>
      </c>
      <c r="K183" s="165">
        <f t="shared" si="62"/>
        <v>-6168.8170858189897</v>
      </c>
      <c r="L183" s="167">
        <f t="shared" si="63"/>
        <v>0</v>
      </c>
      <c r="M183" s="167">
        <f t="shared" si="64"/>
        <v>-6168.8170858189897</v>
      </c>
    </row>
    <row r="184" spans="1:13" s="330" customFormat="1" ht="13.5" customHeight="1">
      <c r="A184" s="324">
        <v>395007</v>
      </c>
      <c r="B184" s="323" t="s">
        <v>324</v>
      </c>
      <c r="C184" s="166">
        <f>'[17]10.1.13 Type 5 Charters by Site'!D51</f>
        <v>223</v>
      </c>
      <c r="D184" s="162">
        <f>'[17]2.1.14 Type 5 Charters by Site'!D49</f>
        <v>234</v>
      </c>
      <c r="E184" s="163">
        <f t="shared" si="58"/>
        <v>11</v>
      </c>
      <c r="F184" s="163">
        <f t="shared" si="59"/>
        <v>11</v>
      </c>
      <c r="G184" s="163">
        <f t="shared" si="60"/>
        <v>0</v>
      </c>
      <c r="H184" s="167">
        <f>'[18]Table 5B1_RSD_Orleans'!D55</f>
        <v>3520.4894337711748</v>
      </c>
      <c r="I184" s="167">
        <f>'[18]Table 5B1_RSD_Orleans'!F55</f>
        <v>907.69666061705993</v>
      </c>
      <c r="J184" s="167">
        <f t="shared" si="61"/>
        <v>2214.0930471941174</v>
      </c>
      <c r="K184" s="165">
        <f t="shared" si="62"/>
        <v>24355.023519135291</v>
      </c>
      <c r="L184" s="167">
        <f t="shared" si="63"/>
        <v>24355.023519135291</v>
      </c>
      <c r="M184" s="167">
        <f t="shared" si="64"/>
        <v>0</v>
      </c>
    </row>
    <row r="185" spans="1:13" s="330" customFormat="1" ht="13.5" customHeight="1">
      <c r="A185" s="321">
        <v>397001</v>
      </c>
      <c r="B185" s="323" t="s">
        <v>325</v>
      </c>
      <c r="C185" s="162">
        <f>'[17]10.1.13 Type 5 Charters by Site'!D52</f>
        <v>470</v>
      </c>
      <c r="D185" s="162">
        <f>'[17]2.1.14 Type 5 Charters by Site'!D50</f>
        <v>447</v>
      </c>
      <c r="E185" s="163">
        <f t="shared" si="58"/>
        <v>-23</v>
      </c>
      <c r="F185" s="163">
        <f t="shared" si="59"/>
        <v>0</v>
      </c>
      <c r="G185" s="163">
        <f t="shared" si="60"/>
        <v>-23</v>
      </c>
      <c r="H185" s="164">
        <f>'[18]Table 5B1_RSD_Orleans'!D56</f>
        <v>3520.4894337711748</v>
      </c>
      <c r="I185" s="164">
        <f>'[18]Table 5B1_RSD_Orleans'!F56</f>
        <v>741.72363820787723</v>
      </c>
      <c r="J185" s="164">
        <f t="shared" si="61"/>
        <v>2131.106535989526</v>
      </c>
      <c r="K185" s="165">
        <f t="shared" si="62"/>
        <v>-49015.450327759099</v>
      </c>
      <c r="L185" s="164">
        <f t="shared" si="63"/>
        <v>0</v>
      </c>
      <c r="M185" s="164">
        <f t="shared" si="64"/>
        <v>-49015.450327759099</v>
      </c>
    </row>
    <row r="186" spans="1:13" s="330" customFormat="1" ht="13.5" customHeight="1">
      <c r="A186" s="338">
        <v>398001</v>
      </c>
      <c r="B186" s="337" t="s">
        <v>326</v>
      </c>
      <c r="C186" s="196">
        <f>'[17]10.1.13 Type 5 Charters by Site'!D53</f>
        <v>722</v>
      </c>
      <c r="D186" s="196">
        <f>'[17]2.1.14 Type 5 Charters by Site'!D51</f>
        <v>714</v>
      </c>
      <c r="E186" s="333">
        <f t="shared" si="58"/>
        <v>-8</v>
      </c>
      <c r="F186" s="333">
        <f t="shared" si="59"/>
        <v>0</v>
      </c>
      <c r="G186" s="333">
        <f t="shared" si="60"/>
        <v>-8</v>
      </c>
      <c r="H186" s="198">
        <f>'[18]Table 5B1_RSD_Orleans'!D57</f>
        <v>3520.4894337711748</v>
      </c>
      <c r="I186" s="198">
        <f>'[18]Table 5B1_RSD_Orleans'!F57</f>
        <v>643.94778836855926</v>
      </c>
      <c r="J186" s="198">
        <f t="shared" si="61"/>
        <v>2082.2186110698672</v>
      </c>
      <c r="K186" s="335">
        <f t="shared" si="62"/>
        <v>-16657.748888558937</v>
      </c>
      <c r="L186" s="198">
        <f t="shared" si="63"/>
        <v>0</v>
      </c>
      <c r="M186" s="198">
        <f t="shared" si="64"/>
        <v>-16657.748888558937</v>
      </c>
    </row>
    <row r="187" spans="1:13" s="330" customFormat="1" ht="13.5" customHeight="1">
      <c r="A187" s="321">
        <v>398002</v>
      </c>
      <c r="B187" s="323" t="s">
        <v>327</v>
      </c>
      <c r="C187" s="166">
        <f>'[17]10.1.13 Type 5 Charters by Site'!D54</f>
        <v>867</v>
      </c>
      <c r="D187" s="162">
        <f>'[17]2.1.14 Type 5 Charters by Site'!D52</f>
        <v>878</v>
      </c>
      <c r="E187" s="163">
        <f t="shared" si="58"/>
        <v>11</v>
      </c>
      <c r="F187" s="163">
        <f t="shared" si="59"/>
        <v>11</v>
      </c>
      <c r="G187" s="163">
        <f t="shared" si="60"/>
        <v>0</v>
      </c>
      <c r="H187" s="167">
        <f>'[18]Table 5B1_RSD_Orleans'!D58</f>
        <v>3520.4894337711748</v>
      </c>
      <c r="I187" s="167">
        <f>'[18]Table 5B1_RSD_Orleans'!F58</f>
        <v>724.79250196607131</v>
      </c>
      <c r="J187" s="167">
        <f t="shared" si="61"/>
        <v>2122.6409678686232</v>
      </c>
      <c r="K187" s="165">
        <f t="shared" si="62"/>
        <v>23349.050646554853</v>
      </c>
      <c r="L187" s="167">
        <f t="shared" si="63"/>
        <v>23349.050646554853</v>
      </c>
      <c r="M187" s="167">
        <f t="shared" si="64"/>
        <v>0</v>
      </c>
    </row>
    <row r="188" spans="1:13" s="330" customFormat="1" ht="13.5" customHeight="1">
      <c r="A188" s="324">
        <v>398003</v>
      </c>
      <c r="B188" s="323" t="s">
        <v>328</v>
      </c>
      <c r="C188" s="166">
        <f>'[17]10.1.13 Type 5 Charters by Site'!D55</f>
        <v>425</v>
      </c>
      <c r="D188" s="162">
        <f>'[17]2.1.14 Type 5 Charters by Site'!D53</f>
        <v>430</v>
      </c>
      <c r="E188" s="163">
        <f t="shared" si="58"/>
        <v>5</v>
      </c>
      <c r="F188" s="163">
        <f t="shared" si="59"/>
        <v>5</v>
      </c>
      <c r="G188" s="163">
        <f t="shared" si="60"/>
        <v>0</v>
      </c>
      <c r="H188" s="167">
        <f>'[18]Table 5B1_RSD_Orleans'!D59</f>
        <v>3520.4894337711748</v>
      </c>
      <c r="I188" s="167">
        <f>'[18]Table 5B1_RSD_Orleans'!F59</f>
        <v>592.5310423197493</v>
      </c>
      <c r="J188" s="167">
        <f t="shared" si="61"/>
        <v>2056.5102380454618</v>
      </c>
      <c r="K188" s="165">
        <f t="shared" si="62"/>
        <v>10282.55119022731</v>
      </c>
      <c r="L188" s="167">
        <f t="shared" si="63"/>
        <v>10282.55119022731</v>
      </c>
      <c r="M188" s="167">
        <f t="shared" si="64"/>
        <v>0</v>
      </c>
    </row>
    <row r="189" spans="1:13" s="330" customFormat="1" ht="13.5" customHeight="1">
      <c r="A189" s="324">
        <v>398004</v>
      </c>
      <c r="B189" s="323" t="s">
        <v>329</v>
      </c>
      <c r="C189" s="166">
        <f>'[17]10.1.13 Type 5 Charters by Site'!D56</f>
        <v>523</v>
      </c>
      <c r="D189" s="162">
        <f>'[17]2.1.14 Type 5 Charters by Site'!D54</f>
        <v>524</v>
      </c>
      <c r="E189" s="163">
        <f t="shared" si="58"/>
        <v>1</v>
      </c>
      <c r="F189" s="163">
        <f t="shared" si="59"/>
        <v>1</v>
      </c>
      <c r="G189" s="163">
        <f t="shared" si="60"/>
        <v>0</v>
      </c>
      <c r="H189" s="167">
        <f>'[18]Table 5B1_RSD_Orleans'!D60</f>
        <v>3520.4894337711748</v>
      </c>
      <c r="I189" s="167">
        <f>'[18]Table 5B1_RSD_Orleans'!F60</f>
        <v>741.31578947368428</v>
      </c>
      <c r="J189" s="167">
        <f t="shared" si="61"/>
        <v>2130.9026116224295</v>
      </c>
      <c r="K189" s="165">
        <f t="shared" si="62"/>
        <v>2130.9026116224295</v>
      </c>
      <c r="L189" s="167">
        <f t="shared" si="63"/>
        <v>2130.9026116224295</v>
      </c>
      <c r="M189" s="167">
        <f t="shared" si="64"/>
        <v>0</v>
      </c>
    </row>
    <row r="190" spans="1:13" s="330" customFormat="1" ht="13.5" customHeight="1">
      <c r="A190" s="329">
        <v>398005</v>
      </c>
      <c r="B190" s="327" t="s">
        <v>330</v>
      </c>
      <c r="C190" s="171">
        <f>'[17]10.1.13 Type 5 Charters by Site'!D57</f>
        <v>433</v>
      </c>
      <c r="D190" s="171">
        <f>'[17]2.1.14 Type 5 Charters by Site'!D55</f>
        <v>418</v>
      </c>
      <c r="E190" s="172">
        <f t="shared" si="58"/>
        <v>-15</v>
      </c>
      <c r="F190" s="172">
        <f t="shared" si="59"/>
        <v>0</v>
      </c>
      <c r="G190" s="172">
        <f t="shared" si="60"/>
        <v>-15</v>
      </c>
      <c r="H190" s="173">
        <f>'[18]Table 5B1_RSD_Orleans'!D61</f>
        <v>3520.4894337711748</v>
      </c>
      <c r="I190" s="173">
        <f>'[18]Table 5B1_RSD_Orleans'!F61</f>
        <v>746.0335616438357</v>
      </c>
      <c r="J190" s="173">
        <f t="shared" si="61"/>
        <v>2133.2614977075054</v>
      </c>
      <c r="K190" s="175">
        <f t="shared" si="62"/>
        <v>-31998.922465612581</v>
      </c>
      <c r="L190" s="173">
        <f t="shared" si="63"/>
        <v>0</v>
      </c>
      <c r="M190" s="173">
        <f t="shared" si="64"/>
        <v>-31998.922465612581</v>
      </c>
    </row>
    <row r="191" spans="1:13" s="330" customFormat="1" ht="13.5" customHeight="1">
      <c r="A191" s="324">
        <v>398006</v>
      </c>
      <c r="B191" s="323" t="s">
        <v>331</v>
      </c>
      <c r="C191" s="162">
        <f>'[17]10.1.13 Type 5 Charters by Site'!D58</f>
        <v>785</v>
      </c>
      <c r="D191" s="162">
        <f>'[17]2.1.14 Type 5 Charters by Site'!D56</f>
        <v>770</v>
      </c>
      <c r="E191" s="163">
        <f t="shared" si="58"/>
        <v>-15</v>
      </c>
      <c r="F191" s="163">
        <f t="shared" si="59"/>
        <v>0</v>
      </c>
      <c r="G191" s="163">
        <f t="shared" si="60"/>
        <v>-15</v>
      </c>
      <c r="H191" s="164">
        <f>'[18]Table 5B1_RSD_Orleans'!D62</f>
        <v>3520.4894337711748</v>
      </c>
      <c r="I191" s="164">
        <f>'[18]Table 5B1_RSD_Orleans'!F62</f>
        <v>746.0335616438357</v>
      </c>
      <c r="J191" s="164">
        <f t="shared" si="61"/>
        <v>2133.2614977075054</v>
      </c>
      <c r="K191" s="165">
        <f t="shared" si="62"/>
        <v>-31998.922465612581</v>
      </c>
      <c r="L191" s="164">
        <f t="shared" si="63"/>
        <v>0</v>
      </c>
      <c r="M191" s="164">
        <f t="shared" si="64"/>
        <v>-31998.922465612581</v>
      </c>
    </row>
    <row r="192" spans="1:13" ht="13.5" customHeight="1">
      <c r="A192" s="324">
        <v>399001</v>
      </c>
      <c r="B192" s="323" t="s">
        <v>332</v>
      </c>
      <c r="C192" s="166">
        <f>'[17]10.1.13 Type 5 Charters by Site'!D59</f>
        <v>487</v>
      </c>
      <c r="D192" s="162">
        <f>'[17]2.1.14 Type 5 Charters by Site'!D57</f>
        <v>482</v>
      </c>
      <c r="E192" s="163">
        <f t="shared" si="58"/>
        <v>-5</v>
      </c>
      <c r="F192" s="163">
        <f t="shared" si="59"/>
        <v>0</v>
      </c>
      <c r="G192" s="163">
        <f t="shared" si="60"/>
        <v>-5</v>
      </c>
      <c r="H192" s="167">
        <f>'[18]Table 5B1_RSD_Orleans'!D63</f>
        <v>3520.4894337711748</v>
      </c>
      <c r="I192" s="167">
        <f>'[18]Table 5B1_RSD_Orleans'!F63</f>
        <v>752.85062142702634</v>
      </c>
      <c r="J192" s="167">
        <f t="shared" si="61"/>
        <v>2136.6700275991006</v>
      </c>
      <c r="K192" s="165">
        <f t="shared" si="62"/>
        <v>-10683.350137995503</v>
      </c>
      <c r="L192" s="167">
        <f t="shared" si="63"/>
        <v>0</v>
      </c>
      <c r="M192" s="167">
        <f t="shared" si="64"/>
        <v>-10683.350137995503</v>
      </c>
    </row>
    <row r="193" spans="1:13" ht="13.5" customHeight="1">
      <c r="A193" s="324">
        <v>399002</v>
      </c>
      <c r="B193" s="323" t="s">
        <v>333</v>
      </c>
      <c r="C193" s="166">
        <f>'[17]10.1.13 Type 5 Charters by Site'!D60</f>
        <v>593</v>
      </c>
      <c r="D193" s="162">
        <f>'[17]2.1.14 Type 5 Charters by Site'!D58</f>
        <v>583</v>
      </c>
      <c r="E193" s="163">
        <f t="shared" si="58"/>
        <v>-10</v>
      </c>
      <c r="F193" s="163">
        <f t="shared" si="59"/>
        <v>0</v>
      </c>
      <c r="G193" s="163">
        <f t="shared" si="60"/>
        <v>-10</v>
      </c>
      <c r="H193" s="167">
        <f>'[18]Table 5B1_RSD_Orleans'!D64</f>
        <v>3520.4894337711748</v>
      </c>
      <c r="I193" s="167">
        <f>'[18]Table 5B1_RSD_Orleans'!F64</f>
        <v>803.97152919927748</v>
      </c>
      <c r="J193" s="167">
        <f t="shared" si="61"/>
        <v>2162.2304814852259</v>
      </c>
      <c r="K193" s="165">
        <f t="shared" si="62"/>
        <v>-21622.304814852258</v>
      </c>
      <c r="L193" s="167">
        <f t="shared" si="63"/>
        <v>0</v>
      </c>
      <c r="M193" s="167">
        <f t="shared" si="64"/>
        <v>-21622.304814852258</v>
      </c>
    </row>
    <row r="194" spans="1:13" ht="13.5" customHeight="1">
      <c r="A194" s="324">
        <v>399003</v>
      </c>
      <c r="B194" s="325" t="s">
        <v>334</v>
      </c>
      <c r="C194" s="166">
        <f>'[17]10.1.13 Type 5 Charters by Site'!D61</f>
        <v>395</v>
      </c>
      <c r="D194" s="162">
        <f>'[17]2.1.14 Type 5 Charters by Site'!D59</f>
        <v>379</v>
      </c>
      <c r="E194" s="163">
        <f t="shared" si="58"/>
        <v>-16</v>
      </c>
      <c r="F194" s="163">
        <f t="shared" si="59"/>
        <v>0</v>
      </c>
      <c r="G194" s="163">
        <f t="shared" si="60"/>
        <v>-16</v>
      </c>
      <c r="H194" s="167">
        <f>'[18]Table 5B1_RSD_Orleans'!D65</f>
        <v>3520.4894337711748</v>
      </c>
      <c r="I194" s="167">
        <f>'[18]Table 5B1_RSD_Orleans'!F65</f>
        <v>746.0335616438357</v>
      </c>
      <c r="J194" s="167">
        <f t="shared" si="61"/>
        <v>2133.2614977075054</v>
      </c>
      <c r="K194" s="165">
        <f t="shared" si="62"/>
        <v>-34132.183963320087</v>
      </c>
      <c r="L194" s="164">
        <f t="shared" si="63"/>
        <v>0</v>
      </c>
      <c r="M194" s="164">
        <f t="shared" si="64"/>
        <v>-34132.183963320087</v>
      </c>
    </row>
    <row r="195" spans="1:13" ht="13.5" customHeight="1">
      <c r="A195" s="324">
        <v>399004</v>
      </c>
      <c r="B195" s="339" t="s">
        <v>335</v>
      </c>
      <c r="C195" s="166">
        <f>'[17]10.1.13 Type 5 Charters by Site'!D62</f>
        <v>504</v>
      </c>
      <c r="D195" s="162">
        <f>'[17]2.1.14 Type 5 Charters by Site'!D60</f>
        <v>496</v>
      </c>
      <c r="E195" s="163">
        <f t="shared" si="58"/>
        <v>-8</v>
      </c>
      <c r="F195" s="163">
        <f>IF(E195&gt;0,E195,0)</f>
        <v>0</v>
      </c>
      <c r="G195" s="163">
        <f>IF(E195&lt;0,E195,0)</f>
        <v>-8</v>
      </c>
      <c r="H195" s="167">
        <f>'[18]Table 5B1_RSD_Orleans'!D66</f>
        <v>3520.4894337711748</v>
      </c>
      <c r="I195" s="167">
        <f>'[18]Table 5B1_RSD_Orleans'!F66</f>
        <v>746.0335616438357</v>
      </c>
      <c r="J195" s="167">
        <f t="shared" si="61"/>
        <v>2133.2614977075054</v>
      </c>
      <c r="K195" s="165">
        <f>E195*J195</f>
        <v>-17066.091981660044</v>
      </c>
      <c r="L195" s="167">
        <f>IF(K195&gt;0,K195,0)</f>
        <v>0</v>
      </c>
      <c r="M195" s="167">
        <f>IF(K195&lt;0,K195,0)</f>
        <v>-17066.091981660044</v>
      </c>
    </row>
    <row r="196" spans="1:13" ht="13.5" customHeight="1">
      <c r="A196" s="336">
        <v>399005</v>
      </c>
      <c r="B196" s="340" t="s">
        <v>336</v>
      </c>
      <c r="C196" s="180">
        <f>'[17]10.1.13 Type 5 Charters by Site'!D63</f>
        <v>765</v>
      </c>
      <c r="D196" s="196">
        <f>'[17]2.1.14 Type 5 Charters by Site'!D61</f>
        <v>777</v>
      </c>
      <c r="E196" s="333">
        <f t="shared" si="58"/>
        <v>12</v>
      </c>
      <c r="F196" s="333">
        <f t="shared" si="59"/>
        <v>12</v>
      </c>
      <c r="G196" s="333">
        <f t="shared" si="60"/>
        <v>0</v>
      </c>
      <c r="H196" s="334">
        <f>'[18]Table 5B1_RSD_Orleans'!D67</f>
        <v>3520.4894337711748</v>
      </c>
      <c r="I196" s="334">
        <f>'[18]Table 5B1_RSD_Orleans'!F67</f>
        <v>746.0335616438357</v>
      </c>
      <c r="J196" s="334">
        <f t="shared" si="61"/>
        <v>2133.2614977075054</v>
      </c>
      <c r="K196" s="335">
        <f t="shared" si="62"/>
        <v>25599.137972490065</v>
      </c>
      <c r="L196" s="334">
        <f t="shared" si="63"/>
        <v>25599.137972490065</v>
      </c>
      <c r="M196" s="334">
        <f t="shared" si="64"/>
        <v>0</v>
      </c>
    </row>
    <row r="197" spans="1:13" ht="13.5" customHeight="1">
      <c r="A197" s="341" t="s">
        <v>44</v>
      </c>
      <c r="B197" s="342" t="s">
        <v>337</v>
      </c>
      <c r="C197" s="170">
        <f>'[17]10.1.13 Type 5 Charters by Site'!D64</f>
        <v>601</v>
      </c>
      <c r="D197" s="171">
        <f>'[17]2.1.14 Type 5 Charters by Site'!D62</f>
        <v>587</v>
      </c>
      <c r="E197" s="172">
        <f t="shared" si="58"/>
        <v>-14</v>
      </c>
      <c r="F197" s="172">
        <f t="shared" si="59"/>
        <v>0</v>
      </c>
      <c r="G197" s="172">
        <f t="shared" si="60"/>
        <v>-14</v>
      </c>
      <c r="H197" s="174">
        <f>'[18]Table 5B1_RSD_Orleans'!D68</f>
        <v>3520.4894337711748</v>
      </c>
      <c r="I197" s="174">
        <f>'[18]Table 5B1_RSD_Orleans'!F68</f>
        <v>746.0335616438357</v>
      </c>
      <c r="J197" s="174">
        <f t="shared" si="61"/>
        <v>2133.2614977075054</v>
      </c>
      <c r="K197" s="175">
        <f t="shared" si="62"/>
        <v>-29865.660967905074</v>
      </c>
      <c r="L197" s="174">
        <f t="shared" si="63"/>
        <v>0</v>
      </c>
      <c r="M197" s="174">
        <f t="shared" si="64"/>
        <v>-29865.660967905074</v>
      </c>
    </row>
    <row r="198" spans="1:13" s="190" customFormat="1" ht="15.75" thickBot="1">
      <c r="A198" s="186"/>
      <c r="B198" s="187" t="s">
        <v>338</v>
      </c>
      <c r="C198" s="188">
        <f>SUM(C141:C197)</f>
        <v>28131</v>
      </c>
      <c r="D198" s="188">
        <f>SUM(D141:D197)</f>
        <v>28165</v>
      </c>
      <c r="E198" s="188">
        <f>SUM(E141:E197)</f>
        <v>34</v>
      </c>
      <c r="F198" s="188">
        <f>SUM(F141:F197)</f>
        <v>273</v>
      </c>
      <c r="G198" s="188">
        <f>SUM(G141:G197)</f>
        <v>-239</v>
      </c>
      <c r="H198" s="189"/>
      <c r="I198" s="189"/>
      <c r="J198" s="189"/>
      <c r="K198" s="189">
        <f>SUM(K141:K197)</f>
        <v>74842.338548394197</v>
      </c>
      <c r="L198" s="189">
        <f>SUM(L141:L197)</f>
        <v>583619.63823768217</v>
      </c>
      <c r="M198" s="189">
        <f>SUM(M141:M197)</f>
        <v>-508777.29968928808</v>
      </c>
    </row>
    <row r="199" spans="1:13" ht="0.75" customHeight="1" thickTop="1">
      <c r="A199" s="316"/>
      <c r="B199" s="343"/>
      <c r="C199" s="318"/>
      <c r="D199" s="318"/>
      <c r="E199" s="319"/>
      <c r="F199" s="319"/>
      <c r="G199" s="319"/>
      <c r="H199" s="320"/>
      <c r="I199" s="320"/>
      <c r="J199" s="320"/>
      <c r="K199" s="320"/>
      <c r="L199" s="320"/>
      <c r="M199" s="320"/>
    </row>
    <row r="200" spans="1:13" ht="14.25" hidden="1" customHeight="1">
      <c r="A200" s="184">
        <v>389002</v>
      </c>
      <c r="B200" s="344" t="s">
        <v>339</v>
      </c>
      <c r="C200" s="170">
        <f>'[17]10.1.13 Type 5 Charters by Site'!D38</f>
        <v>566</v>
      </c>
      <c r="D200" s="170">
        <f>'[17]2.1.14 ALL'!D22</f>
        <v>530</v>
      </c>
      <c r="E200" s="345">
        <f>D200-C200</f>
        <v>-36</v>
      </c>
      <c r="F200" s="345">
        <f>IF(E200&gt;0,E200,0)</f>
        <v>0</v>
      </c>
      <c r="G200" s="345">
        <f>IF(E200&lt;0,E200,0)</f>
        <v>-36</v>
      </c>
      <c r="H200" s="174">
        <f>H22</f>
        <v>3313.0666313017805</v>
      </c>
      <c r="I200" s="174">
        <f>'[18]Table 5B2_RSD_LA'!$F$17</f>
        <v>801.47762416806802</v>
      </c>
      <c r="J200" s="174">
        <f>(I200+H200)*0.5</f>
        <v>2057.2721277349242</v>
      </c>
      <c r="K200" s="175">
        <f>E200*J200</f>
        <v>-74061.796598457266</v>
      </c>
      <c r="L200" s="174">
        <f>IF(K200&gt;0,K200,0)</f>
        <v>0</v>
      </c>
      <c r="M200" s="173">
        <f>IF(K200&lt;0,K200,0)</f>
        <v>-74061.796598457266</v>
      </c>
    </row>
    <row r="201" spans="1:13" s="190" customFormat="1" ht="15.75" hidden="1" thickBot="1">
      <c r="A201" s="186"/>
      <c r="B201" s="187" t="s">
        <v>340</v>
      </c>
      <c r="C201" s="188">
        <f>SUM(C200:C200)</f>
        <v>566</v>
      </c>
      <c r="D201" s="188">
        <f>SUM(D200:D200)</f>
        <v>530</v>
      </c>
      <c r="E201" s="188">
        <f>SUM(E200:E200)</f>
        <v>-36</v>
      </c>
      <c r="F201" s="188">
        <f>SUM(F200:F200)</f>
        <v>0</v>
      </c>
      <c r="G201" s="188">
        <f>SUM(G200:G200)</f>
        <v>-36</v>
      </c>
      <c r="H201" s="189"/>
      <c r="I201" s="189"/>
      <c r="J201" s="189"/>
      <c r="K201" s="189">
        <f>SUM(K200:K200)</f>
        <v>-74061.796598457266</v>
      </c>
      <c r="L201" s="189">
        <f>SUM(L200:L200)</f>
        <v>0</v>
      </c>
      <c r="M201" s="189">
        <f>SUM(M200:M200)</f>
        <v>-74061.796598457266</v>
      </c>
    </row>
    <row r="202" spans="1:13" ht="6.75" hidden="1" customHeight="1" thickTop="1">
      <c r="A202" s="316"/>
      <c r="B202" s="343"/>
      <c r="C202" s="318"/>
      <c r="D202" s="318"/>
      <c r="E202" s="319"/>
      <c r="F202" s="319"/>
      <c r="G202" s="319"/>
      <c r="H202" s="320"/>
      <c r="I202" s="320"/>
      <c r="J202" s="320"/>
      <c r="K202" s="320"/>
      <c r="L202" s="320"/>
      <c r="M202" s="320"/>
    </row>
    <row r="203" spans="1:13" ht="13.5" hidden="1" customHeight="1">
      <c r="A203" s="346">
        <v>371001</v>
      </c>
      <c r="B203" s="347" t="s">
        <v>341</v>
      </c>
      <c r="C203" s="348">
        <f>'[17]10.1.13 Type 5 Charters by Site'!D25</f>
        <v>527</v>
      </c>
      <c r="D203" s="348">
        <f>'[17]2.1.14 ALL'!D14</f>
        <v>508</v>
      </c>
      <c r="E203" s="349">
        <f>D203-C203</f>
        <v>-19</v>
      </c>
      <c r="F203" s="349">
        <f>IF(E203&gt;0,E203,0)</f>
        <v>0</v>
      </c>
      <c r="G203" s="349">
        <f>IF(E203&lt;0,E203,0)</f>
        <v>-19</v>
      </c>
      <c r="H203" s="179">
        <f>H14</f>
        <v>4395.6154516889328</v>
      </c>
      <c r="I203" s="179">
        <f>'[18]Table 5B2_RSD_LA'!$F$29</f>
        <v>744.76</v>
      </c>
      <c r="J203" s="179">
        <f>(I203+H203)*0.5</f>
        <v>2570.1877258444665</v>
      </c>
      <c r="K203" s="175">
        <f>E203*J203</f>
        <v>-48833.566791044861</v>
      </c>
      <c r="L203" s="179">
        <f>IF(K203&gt;0,K203,0)</f>
        <v>0</v>
      </c>
      <c r="M203" s="179">
        <f>IF(K203&lt;0,K203,0)</f>
        <v>-48833.566791044861</v>
      </c>
    </row>
    <row r="204" spans="1:13" s="190" customFormat="1" ht="15.75" hidden="1" thickBot="1">
      <c r="A204" s="186"/>
      <c r="B204" s="187" t="s">
        <v>342</v>
      </c>
      <c r="C204" s="188">
        <f>SUM(C203)</f>
        <v>527</v>
      </c>
      <c r="D204" s="188">
        <f>SUM(D203)</f>
        <v>508</v>
      </c>
      <c r="E204" s="188">
        <f>SUM(E203)</f>
        <v>-19</v>
      </c>
      <c r="F204" s="188">
        <f>SUM(F203)</f>
        <v>0</v>
      </c>
      <c r="G204" s="188">
        <f>SUM(G203)</f>
        <v>-19</v>
      </c>
      <c r="H204" s="189"/>
      <c r="I204" s="189"/>
      <c r="J204" s="189"/>
      <c r="K204" s="189">
        <f>SUM(K203)</f>
        <v>-48833.566791044861</v>
      </c>
      <c r="L204" s="189">
        <f>SUM(L203)</f>
        <v>0</v>
      </c>
      <c r="M204" s="189">
        <f>SUM(M203)</f>
        <v>-48833.566791044861</v>
      </c>
    </row>
    <row r="205" spans="1:13" ht="6.75" hidden="1" customHeight="1" thickTop="1">
      <c r="A205" s="316"/>
      <c r="B205" s="343"/>
      <c r="C205" s="318"/>
      <c r="D205" s="318"/>
      <c r="E205" s="319"/>
      <c r="F205" s="319"/>
      <c r="G205" s="319"/>
      <c r="H205" s="320"/>
      <c r="I205" s="320"/>
      <c r="J205" s="320"/>
      <c r="K205" s="320"/>
      <c r="L205" s="320"/>
      <c r="M205" s="320"/>
    </row>
    <row r="206" spans="1:13" s="357" customFormat="1" ht="15.75" hidden="1" thickBot="1">
      <c r="A206" s="350"/>
      <c r="B206" s="351" t="s">
        <v>343</v>
      </c>
      <c r="C206" s="352"/>
      <c r="D206" s="352"/>
      <c r="E206" s="352">
        <f>D206-C206</f>
        <v>0</v>
      </c>
      <c r="F206" s="352">
        <f>IF(E206&gt;0,E206,0)</f>
        <v>0</v>
      </c>
      <c r="G206" s="352">
        <f>IF(E206&lt;0,E206,0)</f>
        <v>0</v>
      </c>
      <c r="H206" s="353"/>
      <c r="I206" s="353"/>
      <c r="J206" s="353"/>
      <c r="K206" s="354"/>
      <c r="L206" s="355">
        <f>IF(K206&gt;0,K206,0)</f>
        <v>0</v>
      </c>
      <c r="M206" s="356">
        <f>IF(K206&lt;0,K206,0)</f>
        <v>0</v>
      </c>
    </row>
    <row r="207" spans="1:13" ht="6.75" hidden="1" customHeight="1" thickTop="1">
      <c r="A207" s="358"/>
      <c r="B207" s="359"/>
      <c r="C207" s="360"/>
      <c r="D207" s="360"/>
      <c r="E207" s="361"/>
      <c r="F207" s="361"/>
      <c r="G207" s="361"/>
      <c r="H207" s="362"/>
      <c r="I207" s="362"/>
      <c r="J207" s="362"/>
      <c r="K207" s="362"/>
      <c r="L207" s="362"/>
      <c r="M207" s="362"/>
    </row>
    <row r="208" spans="1:13" s="190" customFormat="1" ht="15.75" hidden="1" thickBot="1">
      <c r="A208" s="363"/>
      <c r="B208" s="364" t="s">
        <v>344</v>
      </c>
      <c r="C208" s="365">
        <f t="shared" ref="C208:G208" si="65">C75+C79+C81+C83+C94+C96+C98+C100+C102+C104+C106+C108+C110+C112+C114+C116+C118+C120+C122+C124+C126+C139+C198+C201+C204+C206</f>
        <v>688911</v>
      </c>
      <c r="D208" s="365">
        <f>D75+D79+D81+D83+D94+D96+D98+D100+D102+D104+D106+D108+D110+D112+D114+D116+D118+D120+D122+D124+D126+D139+D198+D201+D204+D206</f>
        <v>685523</v>
      </c>
      <c r="E208" s="365">
        <f>D208-C208</f>
        <v>-3388</v>
      </c>
      <c r="F208" s="365">
        <f t="shared" si="65"/>
        <v>713</v>
      </c>
      <c r="G208" s="365">
        <f t="shared" si="65"/>
        <v>-4101</v>
      </c>
      <c r="H208" s="366"/>
      <c r="I208" s="366"/>
      <c r="J208" s="366"/>
      <c r="K208" s="366">
        <f>K75+K79+K81+K83+K94+K96+K98+K100+K102+K104+K106+K108+K110+K112+K114+K116+K118+K120+K122+K124+K126+K139+K198+K201+K204+K206</f>
        <v>-9287178.561627496</v>
      </c>
      <c r="L208" s="366">
        <f>L75+L79+L81+L83+L94+L96+L98+L100+L102+L104+L106+L108+L110+L112+L114+L116+L118+L120+L122+L124+L126+L139+L198+L201+L204+L206</f>
        <v>1675326.8842122906</v>
      </c>
      <c r="M208" s="366">
        <f>M75+M79+M81+M83+M94+M96+M98+M100+M102+M104+M106+M108+M110+M112+M114+M116+M118+M120+M122+M124+M126+M139+M198+M201+M204+M206</f>
        <v>-10962505.445839783</v>
      </c>
    </row>
    <row r="209" spans="1:13" ht="18" customHeight="1">
      <c r="A209" s="367"/>
      <c r="I209" s="368"/>
      <c r="J209" s="368"/>
    </row>
    <row r="210" spans="1:13" ht="1.5" customHeight="1">
      <c r="A210" s="367"/>
      <c r="I210" s="368"/>
      <c r="J210" s="368"/>
    </row>
    <row r="211" spans="1:13" ht="17.25" hidden="1" customHeight="1">
      <c r="A211" s="367"/>
      <c r="I211" s="368"/>
      <c r="J211" s="368"/>
    </row>
    <row r="212" spans="1:13" ht="18" hidden="1" customHeight="1">
      <c r="A212" s="367"/>
      <c r="I212" s="368"/>
      <c r="J212" s="368"/>
    </row>
    <row r="213" spans="1:13" ht="18" hidden="1" customHeight="1">
      <c r="A213" s="367"/>
      <c r="I213" s="368"/>
      <c r="J213" s="368"/>
    </row>
    <row r="214" spans="1:13" ht="18" hidden="1" customHeight="1">
      <c r="A214" s="367"/>
      <c r="I214" s="368"/>
      <c r="J214" s="368"/>
    </row>
    <row r="215" spans="1:13" s="206" customFormat="1" ht="18" hidden="1" customHeight="1">
      <c r="A215" s="534"/>
      <c r="B215" s="535"/>
      <c r="C215" s="535"/>
      <c r="D215" s="535"/>
      <c r="E215" s="535"/>
      <c r="F215" s="369"/>
      <c r="G215" s="369"/>
      <c r="H215" s="370"/>
      <c r="I215" s="370"/>
      <c r="J215" s="370"/>
      <c r="K215" s="370"/>
      <c r="M215" s="151"/>
    </row>
    <row r="216" spans="1:13" s="206" customFormat="1" ht="18" hidden="1" customHeight="1">
      <c r="A216" s="534" t="s">
        <v>345</v>
      </c>
      <c r="B216" s="534"/>
      <c r="C216" s="534"/>
      <c r="D216" s="369"/>
      <c r="M216" s="151"/>
    </row>
    <row r="217" spans="1:13" ht="15" hidden="1" customHeight="1">
      <c r="B217" s="371" t="s">
        <v>346</v>
      </c>
      <c r="C217" s="372">
        <f>D75+D139+D198+D201+D204</f>
        <v>670253</v>
      </c>
      <c r="D217" s="372">
        <f>C75+C139+C198+C201+C204</f>
        <v>673544</v>
      </c>
      <c r="E217" s="369"/>
      <c r="H217" s="370"/>
      <c r="I217" s="370"/>
      <c r="J217" s="370"/>
      <c r="K217" s="368">
        <f>K75+K139+K198+K201+K204</f>
        <v>-8951956.6759882644</v>
      </c>
    </row>
    <row r="218" spans="1:13" ht="15" hidden="1" customHeight="1">
      <c r="B218" s="371" t="s">
        <v>347</v>
      </c>
      <c r="C218" s="372">
        <f>D94+D96+D98+D100+D102+D104+D106+D108+D110+D112+D114+D116+D118+D120+D122+D124+D126</f>
        <v>12835</v>
      </c>
      <c r="D218" s="372">
        <f>C94+C96+C98+C100+C102+C104+C106+C108+C110+C112+C114+C116+C118+C120+C122+C124+C126</f>
        <v>12961</v>
      </c>
      <c r="E218" s="369"/>
      <c r="H218" s="370"/>
      <c r="I218" s="370"/>
      <c r="J218" s="370"/>
      <c r="K218" s="368" t="e">
        <f>K94+#REF!+K96+K98+K100+K102+K104+K106+K108+K110</f>
        <v>#REF!</v>
      </c>
    </row>
    <row r="219" spans="1:13" ht="15" hidden="1" customHeight="1">
      <c r="B219" s="371" t="s">
        <v>348</v>
      </c>
      <c r="C219" s="373">
        <f>D79+D81+D83</f>
        <v>2435</v>
      </c>
      <c r="D219" s="373">
        <f>C79+C81+C83</f>
        <v>2406</v>
      </c>
      <c r="I219" s="368"/>
      <c r="J219" s="368"/>
      <c r="K219" s="368" t="e">
        <f>K79+#REF!+#REF!</f>
        <v>#REF!</v>
      </c>
    </row>
    <row r="220" spans="1:13" ht="15" hidden="1" customHeight="1">
      <c r="B220" s="371" t="s">
        <v>349</v>
      </c>
      <c r="C220" s="374" t="e">
        <f>#REF!</f>
        <v>#REF!</v>
      </c>
      <c r="D220" s="373" t="e">
        <f>#REF!</f>
        <v>#REF!</v>
      </c>
      <c r="I220" s="368"/>
      <c r="J220" s="368"/>
      <c r="K220" s="368" t="e">
        <f>#REF!</f>
        <v>#REF!</v>
      </c>
    </row>
    <row r="221" spans="1:13" ht="15" hidden="1" customHeight="1">
      <c r="B221" s="371" t="s">
        <v>350</v>
      </c>
      <c r="C221" s="374" t="s">
        <v>351</v>
      </c>
      <c r="D221" s="373" t="e">
        <f>#REF!</f>
        <v>#REF!</v>
      </c>
      <c r="I221" s="368"/>
      <c r="J221" s="368"/>
      <c r="K221" s="368" t="e">
        <f>#REF!</f>
        <v>#REF!</v>
      </c>
    </row>
    <row r="222" spans="1:13" ht="15" hidden="1" customHeight="1">
      <c r="B222" s="371" t="s">
        <v>352</v>
      </c>
      <c r="C222" s="375">
        <v>311</v>
      </c>
      <c r="D222" s="375">
        <f>C206</f>
        <v>0</v>
      </c>
      <c r="I222" s="368"/>
      <c r="J222" s="368"/>
      <c r="K222" s="368">
        <f>K206</f>
        <v>0</v>
      </c>
    </row>
    <row r="223" spans="1:13" ht="17.25" hidden="1" customHeight="1">
      <c r="B223" s="371" t="s">
        <v>344</v>
      </c>
      <c r="C223" s="372" t="e">
        <f>SUM(C217:C222)</f>
        <v>#REF!</v>
      </c>
      <c r="D223" s="376" t="e">
        <f>SUM(D217:D222)</f>
        <v>#REF!</v>
      </c>
      <c r="E223" s="376"/>
      <c r="I223" s="368"/>
      <c r="J223" s="368"/>
      <c r="K223" s="368" t="e">
        <f>SUM(K217:K222)</f>
        <v>#REF!</v>
      </c>
    </row>
    <row r="224" spans="1:13" hidden="1">
      <c r="B224" s="151" t="s">
        <v>353</v>
      </c>
      <c r="K224" s="378" t="e">
        <f>#REF!</f>
        <v>#REF!</v>
      </c>
    </row>
    <row r="225" spans="11:11" hidden="1">
      <c r="K225" s="378" t="e">
        <f>SUM(K223:K224)</f>
        <v>#REF!</v>
      </c>
    </row>
    <row r="226" spans="11:11" hidden="1"/>
    <row r="227" spans="11:11" hidden="1"/>
    <row r="228" spans="11:11" hidden="1"/>
    <row r="229" spans="11:11" hidden="1"/>
    <row r="230" spans="11:11" hidden="1"/>
    <row r="231" spans="11:11" hidden="1"/>
  </sheetData>
  <mergeCells count="15">
    <mergeCell ref="M2:M3"/>
    <mergeCell ref="A215:E215"/>
    <mergeCell ref="A216:C216"/>
    <mergeCell ref="G2:G3"/>
    <mergeCell ref="H2:H3"/>
    <mergeCell ref="I2:I3"/>
    <mergeCell ref="J2:J3"/>
    <mergeCell ref="K2:K3"/>
    <mergeCell ref="L2:L3"/>
    <mergeCell ref="A2:A3"/>
    <mergeCell ref="B2:B3"/>
    <mergeCell ref="C2:C3"/>
    <mergeCell ref="D2:D3"/>
    <mergeCell ref="E2:E3"/>
    <mergeCell ref="F2:F3"/>
  </mergeCells>
  <printOptions horizontalCentered="1"/>
  <pageMargins left="0.25" right="0.25" top="0.8" bottom="0.4" header="0" footer="0"/>
  <pageSetup paperSize="5" scale="54" pageOrder="overThenDown" orientation="portrait" r:id="rId1"/>
  <headerFooter>
    <oddHeader>&amp;L&amp;"Arial,Bold"&amp;18FY2013-14 MFP Formula: February 1 Mid-year Adjustment for Students</oddHeader>
    <oddFooter>&amp;L&amp;Z&amp;F</oddFooter>
  </headerFooter>
  <rowBreaks count="1" manualBreakCount="1">
    <brk id="103" max="12" man="1"/>
  </rowBreaks>
  <colBreaks count="1" manualBreakCount="1">
    <brk id="7" max="2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Summary</vt:lpstr>
      <vt:lpstr>Table 5B1_RSD_Orleans</vt:lpstr>
      <vt:lpstr>October midyear adj</vt:lpstr>
      <vt:lpstr>February midyear adj </vt:lpstr>
      <vt:lpstr>'February midyear adj '!Print_Area</vt:lpstr>
      <vt:lpstr>'October midyear adj'!Print_Area</vt:lpstr>
      <vt:lpstr>Summary!Print_Area</vt:lpstr>
      <vt:lpstr>'Table 5B1_RSD_Orleans'!Print_Area</vt:lpstr>
      <vt:lpstr>'February midyear adj '!Print_Titles</vt:lpstr>
      <vt:lpstr>'October midyear adj'!Print_Titles</vt:lpstr>
      <vt:lpstr>Summary!Print_Titles</vt:lpstr>
      <vt:lpstr>'Table 5B1_RSD_Orleans'!Print_Titles</vt:lpstr>
    </vt:vector>
  </TitlesOfParts>
  <Company>Louisiana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Matherne</dc:creator>
  <cp:lastModifiedBy>Paula Matherne</cp:lastModifiedBy>
  <cp:lastPrinted>2014-03-24T20:03:22Z</cp:lastPrinted>
  <dcterms:created xsi:type="dcterms:W3CDTF">2013-06-12T16:46:21Z</dcterms:created>
  <dcterms:modified xsi:type="dcterms:W3CDTF">2014-03-24T20:03:49Z</dcterms:modified>
</cp:coreProperties>
</file>