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7470" tabRatio="786" activeTab="0"/>
  </bookViews>
  <sheets>
    <sheet name="Table 1 State Summary" sheetId="1" r:id="rId1"/>
    <sheet name="Table 2 Distributions &amp; Adjust" sheetId="2" r:id="rId2"/>
    <sheet name="Table 2A EFTs" sheetId="3" r:id="rId3"/>
    <sheet name="Table 3 Levels 1&amp;2" sheetId="4" r:id="rId4"/>
    <sheet name="Table 4 Level 3" sheetId="5" r:id="rId5"/>
    <sheet name="Table 4A Stipends" sheetId="6" r:id="rId6"/>
    <sheet name="Table 5A Lab Schools" sheetId="7" r:id="rId7"/>
    <sheet name="Table 5B1_RSD_Orleans" sheetId="8" r:id="rId8"/>
    <sheet name="Table 5B2_RSD_LA" sheetId="9" r:id="rId9"/>
    <sheet name="Table 5C_Type 2" sheetId="10" state="hidden" r:id="rId10"/>
    <sheet name="Table 5C1 Madison Prep-CSAL" sheetId="11" r:id="rId11"/>
    <sheet name="Table 5C2-D'Arbonne Woods" sheetId="12" r:id="rId12"/>
    <sheet name="Table 6 (Local Deduct Calc.)" sheetId="13" r:id="rId13"/>
    <sheet name="Table 7 Local Revenue" sheetId="14" r:id="rId14"/>
    <sheet name="Table 8 Membership, 2.1.09" sheetId="15" r:id="rId15"/>
    <sheet name="Table 3A Cert Pay Req" sheetId="16" r:id="rId16"/>
    <sheet name="Dec Midyear Adjustment" sheetId="17" r:id="rId17"/>
    <sheet name="March Midyear Adjustment" sheetId="18" r:id="rId18"/>
    <sheet name="RSD-LDE Membership Explanation" sheetId="19" state="hidden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16">'Dec Midyear Adjustment'!$A$2:$R$146</definedName>
    <definedName name="_xlnm.Print_Area" localSheetId="17">'March Midyear Adjustment'!$A$2:$M$146</definedName>
    <definedName name="_xlnm.Print_Area" localSheetId="0">'Table 1 State Summary'!$A$1:$G$83</definedName>
    <definedName name="_xlnm.Print_Area" localSheetId="1">'Table 2 Distributions &amp; Adjust'!$A$1:$T$76</definedName>
    <definedName name="_xlnm.Print_Area" localSheetId="2">'Table 2A EFTs'!$A$1:$K$76</definedName>
    <definedName name="_xlnm.Print_Area" localSheetId="3">'Table 3 Levels 1&amp;2'!$A$4:$BA$83</definedName>
    <definedName name="_xlnm.Print_Area" localSheetId="15">'Table 3A Cert Pay Req'!$A$1:$W$76</definedName>
    <definedName name="_xlnm.Print_Area" localSheetId="4">'Table 4 Level 3'!$C$2:$AG$76</definedName>
    <definedName name="_xlnm.Print_Area" localSheetId="5">'Table 4A Stipends'!$A$1:$G$76</definedName>
    <definedName name="_xlnm.Print_Area" localSheetId="6">'Table 5A Lab Schools'!$A$1:$Q$19</definedName>
    <definedName name="_xlnm.Print_Area" localSheetId="7">'Table 5B1_RSD_Orleans'!$B$1:$AB$56</definedName>
    <definedName name="_xlnm.Print_Area" localSheetId="8">'Table 5B2_RSD_LA'!$B$2:$U$33</definedName>
    <definedName name="_xlnm.Print_Area" localSheetId="12">'Table 6 (Local Deduct Calc.)'!$A$3:$J$78</definedName>
    <definedName name="_xlnm.Print_Area" localSheetId="13">'Table 7 Local Revenue'!$A$3:$AR$77</definedName>
    <definedName name="_xlnm.Print_Area" localSheetId="14">'Table 8 Membership, 2.1.09'!$A$2:$W$74</definedName>
    <definedName name="_xlnm.Print_Titles" localSheetId="16">'Dec Midyear Adjustment'!$B:$B,'Dec Midyear Adjustment'!$2:$4</definedName>
    <definedName name="_xlnm.Print_Titles" localSheetId="17">'March Midyear Adjustment'!$B:$B,'March Midyear Adjustment'!$2:$4</definedName>
    <definedName name="_xlnm.Print_Titles" localSheetId="0">'Table 1 State Summary'!$1:$9</definedName>
    <definedName name="_xlnm.Print_Titles" localSheetId="1">'Table 2 Distributions &amp; Adjust'!$A:$B</definedName>
    <definedName name="_xlnm.Print_Titles" localSheetId="2">'Table 2A EFTs'!$A:$A</definedName>
    <definedName name="_xlnm.Print_Titles" localSheetId="3">'Table 3 Levels 1&amp;2'!$A:$B,'Table 3 Levels 1&amp;2'!$2:$7</definedName>
    <definedName name="_xlnm.Print_Titles" localSheetId="15">'Table 3A Cert Pay Req'!$A:$B</definedName>
    <definedName name="_xlnm.Print_Titles" localSheetId="4">'Table 4 Level 3'!$A:$B</definedName>
    <definedName name="_xlnm.Print_Titles" localSheetId="6">'Table 5A Lab Schools'!$2:$2</definedName>
    <definedName name="_xlnm.Print_Titles" localSheetId="7">'Table 5B1_RSD_Orleans'!$B:$B,'Table 5B1_RSD_Orleans'!$2:$5</definedName>
    <definedName name="_xlnm.Print_Titles" localSheetId="9">'Table 5C_Type 2'!$A:$A</definedName>
    <definedName name="_xlnm.Print_Titles" localSheetId="12">'Table 6 (Local Deduct Calc.)'!$A:$B,'Table 6 (Local Deduct Calc.)'!$3:$8</definedName>
    <definedName name="_xlnm.Print_Titles" localSheetId="13">'Table 7 Local Revenue'!$A:$B,'Table 7 Local Revenue'!$1:$6</definedName>
    <definedName name="_xlnm.Print_Titles" localSheetId="14">'Table 8 Membership, 2.1.09'!$B:$B,'Table 8 Membership, 2.1.09'!$2:$4</definedName>
  </definedNames>
  <calcPr fullCalcOnLoad="1"/>
</workbook>
</file>

<file path=xl/sharedStrings.xml><?xml version="1.0" encoding="utf-8"?>
<sst xmlns="http://schemas.openxmlformats.org/spreadsheetml/2006/main" count="1886" uniqueCount="936">
  <si>
    <r>
      <t xml:space="preserve">KIPP New Orleans
</t>
    </r>
    <r>
      <rPr>
        <sz val="11"/>
        <rFont val="Futura Lt BT"/>
        <family val="2"/>
      </rPr>
      <t>(KIPP Central City Academy)</t>
    </r>
  </si>
  <si>
    <r>
      <t xml:space="preserve">KIPP New Orleans
</t>
    </r>
    <r>
      <rPr>
        <sz val="11"/>
        <rFont val="Futura Lt BT"/>
        <family val="2"/>
      </rPr>
      <t>(Edward Phillips/Kipp Believe)</t>
    </r>
  </si>
  <si>
    <r>
      <t xml:space="preserve">KIPP New Orleans
</t>
    </r>
    <r>
      <rPr>
        <sz val="11"/>
        <rFont val="Futura Lt BT"/>
        <family val="2"/>
      </rPr>
      <t>(McDonogh #15)</t>
    </r>
  </si>
  <si>
    <r>
      <t xml:space="preserve">Instititute of Academic Excellence,
</t>
    </r>
    <r>
      <rPr>
        <sz val="11"/>
        <rFont val="Futura Lt BT"/>
        <family val="2"/>
      </rPr>
      <t>SUNO  (Sophie B. Wright)</t>
    </r>
  </si>
  <si>
    <r>
      <t xml:space="preserve">Algiers Charter School Assoc. 
</t>
    </r>
    <r>
      <rPr>
        <sz val="11"/>
        <rFont val="Futura Lt BT"/>
        <family val="2"/>
      </rPr>
      <t>(ACSA Tech High at Rosenwald)</t>
    </r>
  </si>
  <si>
    <r>
      <t xml:space="preserve">Algiers Charter School Assoc. 
</t>
    </r>
    <r>
      <rPr>
        <sz val="11"/>
        <rFont val="Futura Lt BT"/>
        <family val="2"/>
      </rPr>
      <t>(Martin Behrman)</t>
    </r>
  </si>
  <si>
    <r>
      <t xml:space="preserve">Algiers Charter School Assoc. 
</t>
    </r>
    <r>
      <rPr>
        <sz val="11"/>
        <rFont val="Futura Lt BT"/>
        <family val="2"/>
      </rPr>
      <t>(Dwight D. Eisenhower)</t>
    </r>
  </si>
  <si>
    <r>
      <t xml:space="preserve">Algiers Charter School Assoc. 
</t>
    </r>
    <r>
      <rPr>
        <sz val="11"/>
        <rFont val="Futura Lt BT"/>
        <family val="2"/>
      </rPr>
      <t>(William J. Fischer)</t>
    </r>
  </si>
  <si>
    <r>
      <t xml:space="preserve">Algiers Charter School Assoc.
</t>
    </r>
    <r>
      <rPr>
        <sz val="11"/>
        <rFont val="Futura Lt BT"/>
        <family val="2"/>
      </rPr>
      <t xml:space="preserve"> (McDonogh #32)</t>
    </r>
  </si>
  <si>
    <r>
      <t xml:space="preserve">Algiers Charter School Assoc.
</t>
    </r>
    <r>
      <rPr>
        <sz val="11"/>
        <rFont val="Futura Lt BT"/>
        <family val="2"/>
      </rPr>
      <t>(O. P. Walker Sr. High)</t>
    </r>
  </si>
  <si>
    <r>
      <t xml:space="preserve">Algiers Charter School Assoc. 
</t>
    </r>
    <r>
      <rPr>
        <sz val="11"/>
        <rFont val="Futura Lt BT"/>
        <family val="2"/>
      </rPr>
      <t>(Harriet Tubman)</t>
    </r>
  </si>
  <si>
    <r>
      <t xml:space="preserve">Choice Foundation
</t>
    </r>
    <r>
      <rPr>
        <sz val="11"/>
        <rFont val="Futura Lt BT"/>
        <family val="2"/>
      </rPr>
      <t>(Lafayette Academy)</t>
    </r>
  </si>
  <si>
    <r>
      <t xml:space="preserve">New Orleans Charter School Fdtn.
</t>
    </r>
    <r>
      <rPr>
        <sz val="11"/>
        <rFont val="Futura Lt BT"/>
        <family val="2"/>
      </rPr>
      <t xml:space="preserve"> (Mc #28 City Park)</t>
    </r>
  </si>
  <si>
    <r>
      <t xml:space="preserve">Friends of King 
</t>
    </r>
    <r>
      <rPr>
        <sz val="11"/>
        <rFont val="Futura Lt BT"/>
        <family val="2"/>
      </rPr>
      <t>(Martin Luther King Elem.)</t>
    </r>
  </si>
  <si>
    <r>
      <t xml:space="preserve">Dryades 
</t>
    </r>
    <r>
      <rPr>
        <sz val="11"/>
        <rFont val="Futura Lt BT"/>
        <family val="2"/>
      </rPr>
      <t>(James M. Singleton Charter Middle)</t>
    </r>
  </si>
  <si>
    <r>
      <t xml:space="preserve">New Beginnings, UNO 
</t>
    </r>
    <r>
      <rPr>
        <sz val="11"/>
        <rFont val="Futura Lt BT"/>
        <family val="2"/>
      </rPr>
      <t>(Medard Nelson)</t>
    </r>
  </si>
  <si>
    <r>
      <t xml:space="preserve">New Beginnings, UNO 
</t>
    </r>
    <r>
      <rPr>
        <sz val="11"/>
        <rFont val="Futura Lt BT"/>
        <family val="2"/>
      </rPr>
      <t>(Capdau without Early College H.S.)</t>
    </r>
  </si>
  <si>
    <t>Redistribution
of Hold Harmless 
Phase-out
(FY2007/08 - FY2009/10)</t>
  </si>
  <si>
    <t>(Prior Year)
2008-09
 COMPUTED SALES TAX BASE
(Without cap)</t>
  </si>
  <si>
    <t>2009-10
COMPUTED
 SALES TAX 
BASE</t>
  </si>
  <si>
    <t>Certifi-
cated Pay Raise Per Pupil Amount</t>
  </si>
  <si>
    <t>2008-09
Certificated 
Pay Raise 
Continuation</t>
  </si>
  <si>
    <t>State Funds 
(with FY08-09 Pay Raise Continuation)
as Percent 
of Total State
and Local</t>
  </si>
  <si>
    <t>Per 
Pupil 
Amount</t>
  </si>
  <si>
    <t>Estimated
Pay Raise
Per FTE</t>
  </si>
  <si>
    <t>February 1, 2008 (with student projections) / February 1, 2009</t>
  </si>
  <si>
    <t>FY2009-10
MFP State
Share of Levels
1, 2, and 3
with Continuation 
of FY2007/08 &amp; 
FY2008/09
 Pay Raises</t>
  </si>
  <si>
    <t>FY2009-10 Pay Raise Requirement</t>
  </si>
  <si>
    <t>9.</t>
  </si>
  <si>
    <t>Number of 
First Year
Foreign Associate
Teachers in
FY2009/10</t>
  </si>
  <si>
    <t>Number of 
Second and 
Third Year
Foreign Associate
Teachers in
FY2009/10</t>
  </si>
  <si>
    <t xml:space="preserve">     Prior Year Pay Raise/Insurance Supplements</t>
  </si>
  <si>
    <t xml:space="preserve">     Remaining Hold Harmless</t>
  </si>
  <si>
    <t xml:space="preserve">     Year 1&amp;2/Year 1,2&amp;3 Reduction of Remaining Hold Harmless</t>
  </si>
  <si>
    <t xml:space="preserve">     Redistribution of Hold Harmless Phase-out</t>
  </si>
  <si>
    <t xml:space="preserve">     Morehouse Parish School Board</t>
  </si>
  <si>
    <t xml:space="preserve">     Union Parish School Board</t>
  </si>
  <si>
    <t>Emergency Assistance (Total)</t>
  </si>
  <si>
    <t>Emergency Assistance</t>
  </si>
  <si>
    <t>Emergency Assistance Provided to Districts</t>
  </si>
  <si>
    <t>FY2009-2010 MFP Budget Letter</t>
  </si>
  <si>
    <t>Comparison of  
FY2008-09 
Budget Letter to
FY2009-10
Budget Letter</t>
  </si>
  <si>
    <r>
      <t xml:space="preserve">Pride College Prep Academy
</t>
    </r>
    <r>
      <rPr>
        <sz val="11"/>
        <rFont val="Futura Lt BT"/>
        <family val="2"/>
      </rPr>
      <t>(FY2009/10 Transformation School)</t>
    </r>
  </si>
  <si>
    <r>
      <t>Adjusted</t>
    </r>
    <r>
      <rPr>
        <sz val="10"/>
        <rFont val="Arial"/>
        <family val="2"/>
      </rPr>
      <t xml:space="preserve">
Feb. 1, 2008
MFP 
Membership</t>
    </r>
  </si>
  <si>
    <t>-  New Beginnings, UNO (Thurgood Marshall Early College H.S.) will be grades 9 - 12 of New Beginnings, UNO (Capdau); therefore, student membership for Thurgood is subtracted from Capdau.
- PRIDE, ARISE, SUCCESS, and Benjamin E. Mays are RSD Orleans operated schools; therefore, projected student membership for these schools is subtracted from RSD Orleans.</t>
  </si>
  <si>
    <t>The following Student Membership is for Information only.  These student counts are included in the district of prior jurisdiction for MFP funding.</t>
  </si>
  <si>
    <r>
      <t xml:space="preserve">February 1, 2009
MFP 
Membership
</t>
    </r>
    <r>
      <rPr>
        <sz val="8"/>
        <rFont val="Arial"/>
        <family val="2"/>
      </rPr>
      <t>(Per SIS)</t>
    </r>
  </si>
  <si>
    <t>Number of Foreign Associate Teachers
February 1, 2009</t>
  </si>
  <si>
    <t>Charter Schools</t>
  </si>
  <si>
    <t>2008-09 Certificated Pay Raise Continuation</t>
  </si>
  <si>
    <t>TOTAL CHARTER SCHOOL ALLOCATION</t>
  </si>
  <si>
    <t>GRAND TOTAL STATE</t>
  </si>
  <si>
    <t>Type 2 Charter Schools (Approved after July 2008)</t>
  </si>
  <si>
    <t>State
Base
Allocation</t>
  </si>
  <si>
    <t xml:space="preserve">Total 
State 
Allocation 
</t>
  </si>
  <si>
    <t>Continuation of 
FY2008-09 Pay Raise</t>
  </si>
  <si>
    <t>Certificated
 Pay Raise 
Per Pupil
 Amount</t>
  </si>
  <si>
    <t>Q.</t>
  </si>
  <si>
    <t>FY2009-10
Total MFP
Distribution 
with
Adjustments
and
Stipends</t>
  </si>
  <si>
    <t>Total 
FY2009-10
Allocation plus Continuation
of Pay Raises
minus 
Admin Fee
 with Audit  Adjustments</t>
  </si>
  <si>
    <t>(Table 3, 
col. 29)</t>
  </si>
  <si>
    <r>
      <t xml:space="preserve">D'Arbonne Woods Charter
(D'Arbonne Woods Charter School, Inc.)
</t>
    </r>
    <r>
      <rPr>
        <sz val="12"/>
        <rFont val="Futura Lt BT"/>
        <family val="2"/>
      </rPr>
      <t>Union Parish School Board</t>
    </r>
  </si>
  <si>
    <t>Total
State and
Local
Payment
Amount</t>
  </si>
  <si>
    <t>Total
State and
Local
Monthly 
Payment
Amount</t>
  </si>
  <si>
    <t>Local 
Per Pupil 
(per Calculation)</t>
  </si>
  <si>
    <t xml:space="preserve">2007-08 
Certificated
 Pay Raise
Supplement
 (Dec 2007)
</t>
  </si>
  <si>
    <t>Total EBR Parish + 
RSD Charters</t>
  </si>
  <si>
    <r>
      <t xml:space="preserve">Lanier Elementary 
</t>
    </r>
    <r>
      <rPr>
        <b/>
        <sz val="12"/>
        <rFont val="Arial"/>
        <family val="2"/>
      </rPr>
      <t>(Advance BR)</t>
    </r>
  </si>
  <si>
    <r>
      <t xml:space="preserve">Dalton Elementary
</t>
    </r>
    <r>
      <rPr>
        <b/>
        <sz val="12"/>
        <rFont val="Arial"/>
        <family val="2"/>
      </rPr>
      <t>(Advance BR)</t>
    </r>
  </si>
  <si>
    <r>
      <t xml:space="preserve">Kenilworth Middle
</t>
    </r>
    <r>
      <rPr>
        <b/>
        <sz val="10"/>
        <rFont val="Arial"/>
        <family val="2"/>
      </rPr>
      <t>(Pelican Educational Fdn.)</t>
    </r>
  </si>
  <si>
    <r>
      <t xml:space="preserve">Crestworth Middle
</t>
    </r>
    <r>
      <rPr>
        <b/>
        <sz val="10"/>
        <rFont val="Arial"/>
        <family val="2"/>
      </rPr>
      <t>(Crestworth Learning Acad.)</t>
    </r>
  </si>
  <si>
    <r>
      <t>Local</t>
    </r>
    <r>
      <rPr>
        <b/>
        <sz val="10"/>
        <color indexed="18"/>
        <rFont val="Arial"/>
        <family val="2"/>
      </rPr>
      <t xml:space="preserve">
Admin 
Fee to
Dept. of
Education</t>
    </r>
  </si>
  <si>
    <r>
      <t xml:space="preserve">State </t>
    </r>
    <r>
      <rPr>
        <b/>
        <sz val="10"/>
        <color indexed="18"/>
        <rFont val="Arial"/>
        <family val="2"/>
      </rPr>
      <t xml:space="preserve">
Admin 
Fee to
Dept. of
Education</t>
    </r>
  </si>
  <si>
    <t>Continuation of 
FY2007-08 Pay Raises</t>
  </si>
  <si>
    <t>State
Monthly 
Amount</t>
  </si>
  <si>
    <t>Local
Monthly 
Amount</t>
  </si>
  <si>
    <t>Total
Local
Allocation</t>
  </si>
  <si>
    <r>
      <t xml:space="preserve">Madison Prep Academy
(Community Schools for 
Apprenticeship Learning)
</t>
    </r>
    <r>
      <rPr>
        <sz val="12"/>
        <rFont val="Futura Lt BT"/>
        <family val="2"/>
      </rPr>
      <t>East Baton Rouge Parish</t>
    </r>
  </si>
  <si>
    <t>FY2009-10
MFP State 
Per Pupil 
Levels
1, 2 &amp; 3
(per Budget 
Letter)</t>
  </si>
  <si>
    <t>Certificated 
and Support 
Worker Pay 
Raise Per 
Pupil Amount</t>
  </si>
  <si>
    <t>LA Dept. of Education</t>
  </si>
  <si>
    <t>TOTAL Type 2 Charters +
LA Dept. of Education</t>
  </si>
  <si>
    <t>Prior Year
Reduction
of Remaining
Hold Harmless
(FY07/08 thru 
FY08/09)</t>
  </si>
  <si>
    <r>
      <t xml:space="preserve">FY2009-10
</t>
    </r>
    <r>
      <rPr>
        <b/>
        <sz val="10"/>
        <color indexed="10"/>
        <rFont val="Arial Narrow"/>
        <family val="2"/>
      </rPr>
      <t xml:space="preserve">TOTAL STATE </t>
    </r>
    <r>
      <rPr>
        <b/>
        <sz val="10"/>
        <color indexed="18"/>
        <rFont val="Arial Narrow"/>
        <family val="2"/>
      </rPr>
      <t xml:space="preserve">
(with Continuation
of Pay Raises)
 AND
</t>
    </r>
    <r>
      <rPr>
        <b/>
        <sz val="10"/>
        <color indexed="10"/>
        <rFont val="Arial Narrow"/>
        <family val="2"/>
      </rPr>
      <t>LOCAL</t>
    </r>
    <r>
      <rPr>
        <b/>
        <sz val="10"/>
        <color indexed="18"/>
        <rFont val="Arial Narrow"/>
        <family val="2"/>
      </rPr>
      <t xml:space="preserve"> COST OF  
Levels 1 and 2</t>
    </r>
  </si>
  <si>
    <t>Prior Year Pay Raises (FY01-02 through FY06-07)</t>
  </si>
  <si>
    <r>
      <t xml:space="preserve">Feb. 1, 2009
MFP 
Member-
ship
</t>
    </r>
    <r>
      <rPr>
        <sz val="10"/>
        <color indexed="18"/>
        <rFont val="Arial"/>
        <family val="2"/>
      </rPr>
      <t>(Per SIS)</t>
    </r>
  </si>
  <si>
    <t>2007-08
Pay Raise Continuation (cont'd)</t>
  </si>
  <si>
    <t xml:space="preserve">Initial 
Funded
Student 
Count
</t>
  </si>
  <si>
    <t>Total Continuation 
of 
FY2007-08 
Pay Raise</t>
  </si>
  <si>
    <t>Total 
Continuation 
of
2007-08
 Pay Raise</t>
  </si>
  <si>
    <t xml:space="preserve">2008-09 Certificated Pay Raise Supplement (Dec. 2008)
</t>
  </si>
  <si>
    <r>
      <t xml:space="preserve">FY2009-10
Level 3 State 
Funding 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indexed="18"/>
        <rFont val="Arial"/>
        <family val="2"/>
      </rPr>
      <t>Continuation 
of FY07-08 and
 FY08-09 Pay Raise</t>
    </r>
  </si>
  <si>
    <r>
      <t xml:space="preserve">FY2009-10
Levels 1, 2 &amp; 3
STATE SHARE
OF COST
</t>
    </r>
    <r>
      <rPr>
        <b/>
        <sz val="10"/>
        <color indexed="10"/>
        <rFont val="Arial"/>
        <family val="2"/>
      </rPr>
      <t xml:space="preserve">without </t>
    </r>
    <r>
      <rPr>
        <b/>
        <sz val="10"/>
        <color indexed="18"/>
        <rFont val="Arial"/>
        <family val="2"/>
      </rPr>
      <t>Continuation of FY2007-08 &amp; 
FY08-09 Pay Raise</t>
    </r>
  </si>
  <si>
    <r>
      <t xml:space="preserve">FY2009-10
Level 3 
State 
Funding
</t>
    </r>
    <r>
      <rPr>
        <b/>
        <sz val="10"/>
        <color indexed="10"/>
        <rFont val="Arial"/>
        <family val="2"/>
      </rPr>
      <t>with Continuation of FY2007-08 &amp; FY08-09 Pay Raise</t>
    </r>
  </si>
  <si>
    <r>
      <t xml:space="preserve">FY2009-10
Levels 1, 2 &amp; 3
STATE SHARE
OF COST
</t>
    </r>
    <r>
      <rPr>
        <b/>
        <sz val="10"/>
        <color indexed="10"/>
        <rFont val="Arial"/>
        <family val="2"/>
      </rPr>
      <t>with Continuation of FY2007-08 &amp; FY08-09 Pay Raise</t>
    </r>
  </si>
  <si>
    <t>2009-10 Accountability Reward Amount</t>
  </si>
  <si>
    <t>Based on
2008-09 Data</t>
  </si>
  <si>
    <t>RSD Operated: Tureaud</t>
  </si>
  <si>
    <t>LEVEL 1 &amp; 2 STATE INCREASES 
AND ADJUSTMENTS (continued)</t>
  </si>
  <si>
    <t>Foreign Language 
Associates</t>
  </si>
  <si>
    <t>Accountability 
Student Transfer</t>
  </si>
  <si>
    <t>Pay Raise
&amp; Insurance
Supplement
Amounts
from Prior
Years</t>
  </si>
  <si>
    <t>FY2006/07
Hold 
Harmless 
Amount</t>
  </si>
  <si>
    <t>School 
System</t>
  </si>
  <si>
    <t>AD VALOREM 
CONSTITUTIONAL TAX</t>
  </si>
  <si>
    <t>COMBINED 
SALES 
PERCENT</t>
  </si>
  <si>
    <t>SALES
REVENUE 
(NON-DEBT)</t>
  </si>
  <si>
    <t>SALES 
REVENUE 
(DEBT)</t>
  </si>
  <si>
    <t>PARISH 
MILL 
RATE</t>
  </si>
  <si>
    <t>DIST 
MILL 
LOW</t>
  </si>
  <si>
    <t>DIST 
MILL 
HIGH</t>
  </si>
  <si>
    <t># 
OF 
DISTS.</t>
  </si>
  <si>
    <t>DIST 
REVENUE 
AMOUNT</t>
  </si>
  <si>
    <t>PARISH 
REVENUE 
AMOUNT</t>
  </si>
  <si>
    <t>TOTAL AVG. 
MILL RATE 
(NON DEBT)</t>
  </si>
  <si>
    <t>TOTAL AVG.
MILL RATE 
(DEBT)</t>
  </si>
  <si>
    <t>REVENUE
DISTRICT 
INCL. DEBT</t>
  </si>
  <si>
    <t>REVENUE
PARISHWIDE
INCL. DEBT</t>
  </si>
  <si>
    <t>PARISHWIDE  
MILLAGE 
INCL. DEBT</t>
  </si>
  <si>
    <t>TOTAL AVG.
MILL RATE 
INCLUDING
DEBT</t>
  </si>
  <si>
    <t>DEBT 
RATE</t>
  </si>
  <si>
    <t>% 
Change</t>
  </si>
  <si>
    <r>
      <t xml:space="preserve">OPSB
</t>
    </r>
    <r>
      <rPr>
        <sz val="12"/>
        <rFont val="Arial"/>
        <family val="2"/>
      </rPr>
      <t xml:space="preserve">Orleans Parish </t>
    </r>
  </si>
  <si>
    <t>col. 34+col.30+col. 26</t>
  </si>
  <si>
    <t>set by resolution</t>
  </si>
  <si>
    <t>col. 5 + col. 7 + col. 11</t>
  </si>
  <si>
    <t>col. 14 + col. 18</t>
  </si>
  <si>
    <t>La. Tax Commission Tables 41 &amp; 43</t>
  </si>
  <si>
    <t>(col. 26/ col. 3)*1000</t>
  </si>
  <si>
    <t>col. 30/ col 27</t>
  </si>
  <si>
    <t>col. 28/ col. 31</t>
  </si>
  <si>
    <t>col. 29/ col. 31</t>
  </si>
  <si>
    <t>City of Baker</t>
  </si>
  <si>
    <t>Accountability Student Transfers</t>
  </si>
  <si>
    <t>Foreign Language Associates</t>
  </si>
  <si>
    <t>Zachary Community</t>
  </si>
  <si>
    <t>Level 3 Legislative Enhancements</t>
  </si>
  <si>
    <t>col. 4 + col. 6 + col 13</t>
  </si>
  <si>
    <t>col. 5 + col. 7 + col 14</t>
  </si>
  <si>
    <t>col. 11 + col. 18</t>
  </si>
  <si>
    <t>(col. 19/ col. 3)*1000</t>
  </si>
  <si>
    <t>(col. 12/ col. 3)*1000</t>
  </si>
  <si>
    <t>SUMMARY OF AD VALOREM TAXES</t>
  </si>
  <si>
    <t>AFR-kpc 62220 col. 3</t>
  </si>
  <si>
    <t>AFR-kpc 62220 col. 4</t>
  </si>
  <si>
    <t>AFR-kpc 62320 col. 3</t>
  </si>
  <si>
    <t>AFR-kpc 62320 col. 4</t>
  </si>
  <si>
    <t>AFR-kpc 62320 col. 5</t>
  </si>
  <si>
    <t>AFR-kpc 62320 col. 6</t>
  </si>
  <si>
    <t>AFR-kpc 62320 col. 7</t>
  </si>
  <si>
    <t>AFR-kpc 62320 col. 8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</si>
  <si>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</si>
  <si>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</si>
  <si>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</si>
  <si>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</si>
  <si>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</si>
  <si>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</si>
  <si>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AD VALOREM RENEWABLE TAXES</t>
  </si>
  <si>
    <t>DEBT SERVICE TAXES</t>
  </si>
  <si>
    <t>TOTAL AD VALOREM TAXES         (DEBT)</t>
  </si>
  <si>
    <t>PARISH REVENUE AMOUNT</t>
  </si>
  <si>
    <t>DIST. MILL LOW</t>
  </si>
  <si>
    <t>DIST. MILL HIGH</t>
  </si>
  <si>
    <t># OF DISTS.</t>
  </si>
  <si>
    <t>Infants</t>
  </si>
  <si>
    <t>K</t>
  </si>
  <si>
    <t>(6b)</t>
  </si>
  <si>
    <t>("Table 7 state total col. 25" x "Tbl 7 col. 3") / 1000</t>
  </si>
  <si>
    <t>"Table 7 total col. 27" * "Tbl 7 col. 31"</t>
  </si>
  <si>
    <t>Input from SIS</t>
  </si>
  <si>
    <t>K.</t>
  </si>
  <si>
    <t>Foreign Associate Teacher Stipends</t>
  </si>
  <si>
    <t>Prior Year Audit Adjustments</t>
  </si>
  <si>
    <t>Middle School Advocates (N. O. Charter Middle at Arthur Ashe)</t>
  </si>
  <si>
    <t>Total Type 5 Charters - Caddo</t>
  </si>
  <si>
    <t>See 
Table 2</t>
  </si>
  <si>
    <t>Audit 
Adjust-
ments
 FY07/08
 Budget
 Letter</t>
  </si>
  <si>
    <t>Audit 
Adjust-
ments 
FY08/09
 Budget
 Letter</t>
  </si>
  <si>
    <t>Audit 
Adjustments
FY2008/09 
Budget 
Letter</t>
  </si>
  <si>
    <t>Advance Baton Rouge (Glen Oaks Middle)</t>
  </si>
  <si>
    <t>Advance Baton Rouge (Prescott Middle)</t>
  </si>
  <si>
    <t>Advance Baton Rouge (Pointe Coupee Central High)</t>
  </si>
  <si>
    <t>100 Black Men (Capitol Pre-College for Boys)</t>
  </si>
  <si>
    <t>100 Black Men (Capitol Pre-College for Girls)</t>
  </si>
  <si>
    <t>New Beginnings, UNO (Thurgood Marshall Early College H.S.)</t>
  </si>
  <si>
    <t>New Beginnings, UNO (Capdau)</t>
  </si>
  <si>
    <t>PRIDE (Pride College Prep Academy)</t>
  </si>
  <si>
    <t>ARISE (Arise Academy)</t>
  </si>
  <si>
    <t>SUCCESS(Success Prep Academy)</t>
  </si>
  <si>
    <t>Benjamin E. Mays (Benjamin E. Mays Prepartory School)</t>
  </si>
  <si>
    <t>Banks Elementary School</t>
  </si>
  <si>
    <t>Capitol Elementary School</t>
  </si>
  <si>
    <t>Dalton Elementary School</t>
  </si>
  <si>
    <t>Lanier Elementary School</t>
  </si>
  <si>
    <t>Park Elementary School</t>
  </si>
  <si>
    <t>Capitol Middle School</t>
  </si>
  <si>
    <t>Crestworth Middle School</t>
  </si>
  <si>
    <t>Kenilworth Middle School</t>
  </si>
  <si>
    <t>Linear Middle School</t>
  </si>
  <si>
    <t>Linwood Middle School</t>
  </si>
  <si>
    <t>February 1, 2009
Special Ed Other
Exceptionalities
Membership</t>
  </si>
  <si>
    <t>February 1, 2009
Special Ed 
Gifted &amp; Talented
Membership</t>
  </si>
  <si>
    <r>
      <t xml:space="preserve">February 1, 2009
MFP At Risk
Membership
</t>
    </r>
    <r>
      <rPr>
        <sz val="8"/>
        <color indexed="10"/>
        <rFont val="Arial"/>
        <family val="2"/>
      </rPr>
      <t>(Actual SIS Data)</t>
    </r>
  </si>
  <si>
    <r>
      <t xml:space="preserve">
SPECIAL ED 
OTHER 
EXCEPTIONALITIES 
STUDENTS
</t>
    </r>
    <r>
      <rPr>
        <sz val="10"/>
        <color indexed="18"/>
        <rFont val="Arial"/>
        <family val="2"/>
      </rPr>
      <t>(Per SER 2-1-09)</t>
    </r>
  </si>
  <si>
    <r>
      <t xml:space="preserve">
SPECIAL ED 
GIFTED AND 
TALENTED 
STUDENTS 
</t>
    </r>
    <r>
      <rPr>
        <sz val="10"/>
        <color indexed="18"/>
        <rFont val="Arial"/>
        <family val="2"/>
      </rPr>
      <t>(Per SER 2-1-09)</t>
    </r>
  </si>
  <si>
    <t>GRADE LEVEL</t>
  </si>
  <si>
    <t>Col 3 * Table 3, col 1</t>
  </si>
  <si>
    <t>$below * col. 9</t>
  </si>
  <si>
    <t>Division of Student Standards &amp; Assessments</t>
  </si>
  <si>
    <t>Planning, Analysis &amp; Information Resources (PAIR)</t>
  </si>
  <si>
    <t>col.13 x Tbl 3, col.1 (Oct 1 membership)</t>
  </si>
  <si>
    <r>
      <t xml:space="preserve">Feb. 1, 2009
Student Membership
</t>
    </r>
    <r>
      <rPr>
        <sz val="10"/>
        <color indexed="18"/>
        <rFont val="Arial"/>
        <family val="2"/>
      </rPr>
      <t>(Per SIS)</t>
    </r>
  </si>
  <si>
    <r>
      <t xml:space="preserve">Adjustment for Increased Students </t>
    </r>
    <r>
      <rPr>
        <sz val="10"/>
        <color indexed="18"/>
        <rFont val="Arial"/>
        <family val="2"/>
      </rPr>
      <t>(Amount to Subtract From MFP Increase)</t>
    </r>
  </si>
  <si>
    <r>
      <t xml:space="preserve">50% Distribution Amount for Certificated Pay Increase </t>
    </r>
    <r>
      <rPr>
        <b/>
        <u val="single"/>
        <sz val="10"/>
        <color indexed="20"/>
        <rFont val="Arial"/>
        <family val="2"/>
      </rPr>
      <t>Including</t>
    </r>
    <r>
      <rPr>
        <b/>
        <u val="single"/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Retirement &amp; Medicare</t>
    </r>
  </si>
  <si>
    <t xml:space="preserve">Feb. 1, 2009
Student Membership </t>
  </si>
  <si>
    <t>FY2009-10
Levels 1 &amp; 2
STATE SHARE
 OF COST</t>
  </si>
  <si>
    <t xml:space="preserve">
FY2009-10
STATE SHARE
OF LEVEL 2 </t>
  </si>
  <si>
    <t xml:space="preserve">
FY2009-10
Levels 1 and 2
LOCAL SHARE 
OF COST</t>
  </si>
  <si>
    <t>FY2009-10
Total MFP
Distribution 
with
Adjustments</t>
  </si>
  <si>
    <t>FY2009-10 
STATE SHARE 
OF LEVEL 1</t>
  </si>
  <si>
    <t>* See Table 5B1 and 5B2 for districts with schools in the Recovery School District</t>
  </si>
  <si>
    <t>Total
Level 3
Unequalized 
Funding with
Continuation
of FY07/08
and FY08/09
 Pay Raises</t>
  </si>
  <si>
    <t>FY2007-08
Pay Raise Continuation</t>
  </si>
  <si>
    <t xml:space="preserve">FY2008-09
Pay Raise Continuation </t>
  </si>
  <si>
    <t>If col 14 &gt;col. 15 then col. 15, otherwise col. 14</t>
  </si>
  <si>
    <t>col.1 / col. 2</t>
  </si>
  <si>
    <t>Col.11 x $below (state average of local per pupil revenue levels 1&amp;2)</t>
  </si>
  <si>
    <t>AFR-kpc 63320 col.3</t>
  </si>
  <si>
    <t>AFR kpc 63320 col.4</t>
  </si>
  <si>
    <t>Input from LANSER</t>
  </si>
  <si>
    <t>Input from ASR</t>
  </si>
  <si>
    <t>Budget Amendment to Increase/(Decrease)</t>
  </si>
  <si>
    <t>SUMMARY OF SALES TAXES</t>
  </si>
  <si>
    <t>Increased MFP Funding (L1&amp;2) After Adjustment for Student Increases</t>
  </si>
  <si>
    <t>Col.2a X 17%</t>
  </si>
  <si>
    <t>Col.31 X 5%</t>
  </si>
  <si>
    <t>Col.4a X 150%</t>
  </si>
  <si>
    <t>Col.5a X  60%</t>
  </si>
  <si>
    <t>Per HCR 235</t>
  </si>
  <si>
    <t>SIS</t>
  </si>
  <si>
    <t>AFR kpcs (50% of 1210, 1220) 8231, 8232, 8233, 8234, 8240, 14200, 14300, 14400</t>
  </si>
  <si>
    <t>Col.35 / Tab.3 col.1</t>
  </si>
  <si>
    <t xml:space="preserve">Other School Funding </t>
  </si>
  <si>
    <t>State Share
Per Pupil
(Levels 
1, 2  &amp; 3)
for
Orleans 
Parish</t>
  </si>
  <si>
    <t>Recovery School District Funding</t>
  </si>
  <si>
    <t>RSD Transfers</t>
  </si>
  <si>
    <t>Total 
Continuation of FY2007/08 Pay Raise</t>
  </si>
  <si>
    <t xml:space="preserve">2007-08
Support Worker 
Pay Raise
Supplement
(Dec 2007)
</t>
  </si>
  <si>
    <t>W12</t>
  </si>
  <si>
    <t>W11</t>
  </si>
  <si>
    <t>W21</t>
  </si>
  <si>
    <t>W31</t>
  </si>
  <si>
    <t>W91</t>
  </si>
  <si>
    <t>W71</t>
  </si>
  <si>
    <t>W81</t>
  </si>
  <si>
    <t>W84</t>
  </si>
  <si>
    <t>W92</t>
  </si>
  <si>
    <t>WF1</t>
  </si>
  <si>
    <t>WE1</t>
  </si>
  <si>
    <t>WD1</t>
  </si>
  <si>
    <t>WC1</t>
  </si>
  <si>
    <t>WB1</t>
  </si>
  <si>
    <t>WA1</t>
  </si>
  <si>
    <t>W61</t>
  </si>
  <si>
    <t>W62</t>
  </si>
  <si>
    <t>W63</t>
  </si>
  <si>
    <t>W64</t>
  </si>
  <si>
    <t>W65</t>
  </si>
  <si>
    <t>W66</t>
  </si>
  <si>
    <t>W67</t>
  </si>
  <si>
    <t>W42</t>
  </si>
  <si>
    <t>W51</t>
  </si>
  <si>
    <t>Sitecode</t>
  </si>
  <si>
    <t>W82</t>
  </si>
  <si>
    <t>Esperanza Charter School Assoc (Esperanza/Crossman)</t>
  </si>
  <si>
    <t>MFP
Allocation</t>
  </si>
  <si>
    <t>Middle School Advocates 
(Samuel J. Green)</t>
  </si>
  <si>
    <r>
      <t xml:space="preserve">Recovery School District
</t>
    </r>
    <r>
      <rPr>
        <sz val="12"/>
        <rFont val="Arial"/>
        <family val="2"/>
      </rPr>
      <t>RSD Operated</t>
    </r>
  </si>
  <si>
    <t>RSD Chartered</t>
  </si>
  <si>
    <t>Total RSD Chartered</t>
  </si>
  <si>
    <t>TOTAL RSD 
(Operated + Chartered)</t>
  </si>
  <si>
    <t xml:space="preserve">Percent 
State </t>
  </si>
  <si>
    <t>Estimated Average Pay Raise
from 50% Requirement for 
Districts Below SREB Average</t>
  </si>
  <si>
    <t>Certifi-cated Pay Raise Per Pupil Amount</t>
  </si>
  <si>
    <t>O.</t>
  </si>
  <si>
    <t xml:space="preserve">Number of Students Received from SI2 - SI6 Schools </t>
  </si>
  <si>
    <t>Mandated Cost Adjustment</t>
  </si>
  <si>
    <t xml:space="preserve">Increase Cost Adjustment </t>
  </si>
  <si>
    <t>Adjustments</t>
  </si>
  <si>
    <t>P.</t>
  </si>
  <si>
    <t xml:space="preserve">MFP Appropriation </t>
  </si>
  <si>
    <t>Districts Below SREB Average Teacher Salary</t>
  </si>
  <si>
    <t>Percent</t>
  </si>
  <si>
    <t>N/A</t>
  </si>
  <si>
    <t>Total 
Stipends
for Foreign
Associate
Teachers</t>
  </si>
  <si>
    <t>See Table 2</t>
  </si>
  <si>
    <t>Plus(Minus) Prior Year Adjustments - RSD</t>
  </si>
  <si>
    <t xml:space="preserve">COMPUTED SALES
TAX BASE with GROWTH CAP OF </t>
  </si>
  <si>
    <t>STATE TOTAL</t>
  </si>
  <si>
    <t>COMPUTED SALES TAX BASE</t>
  </si>
  <si>
    <t>NON-DEBT RATE</t>
  </si>
  <si>
    <t>Hide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</si>
  <si>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</si>
  <si>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</si>
  <si>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</si>
  <si>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</si>
  <si>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</si>
  <si>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</si>
  <si>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</si>
  <si>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</si>
  <si>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</si>
  <si>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</si>
  <si>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</si>
  <si>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</si>
  <si>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</si>
  <si>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</si>
  <si>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</si>
  <si>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</si>
  <si>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</si>
  <si>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</si>
  <si>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</si>
  <si>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</si>
  <si>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</si>
  <si>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</si>
  <si>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</si>
  <si>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</si>
  <si>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</si>
  <si>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</si>
  <si>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</si>
  <si>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</si>
  <si>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</si>
  <si>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</si>
  <si>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</si>
  <si>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</si>
  <si>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</si>
  <si>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</si>
  <si>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</si>
  <si>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</si>
  <si>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</si>
  <si>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</si>
  <si>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</si>
  <si>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</si>
  <si>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</si>
  <si>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</si>
  <si>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</si>
  <si>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</si>
  <si>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</si>
  <si>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</si>
  <si>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</si>
  <si>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</si>
  <si>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</si>
  <si>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</si>
  <si>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</si>
  <si>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</si>
  <si>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</si>
  <si>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</si>
  <si>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</si>
  <si>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</si>
  <si>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</si>
  <si>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</si>
  <si>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</si>
  <si>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</si>
  <si>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</si>
  <si>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</si>
  <si>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</si>
  <si>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</si>
  <si>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</si>
  <si>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</si>
  <si>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(3a)</t>
  </si>
  <si>
    <t>(4a)</t>
  </si>
  <si>
    <t>(5a)</t>
  </si>
  <si>
    <t>(2a)</t>
  </si>
  <si>
    <t>Level 1 Base Per Pupil Amount</t>
  </si>
  <si>
    <t>1.</t>
  </si>
  <si>
    <t>2.</t>
  </si>
  <si>
    <t>3.</t>
  </si>
  <si>
    <t>4.</t>
  </si>
  <si>
    <t>Exceptionalities Weight Factor (150%)</t>
  </si>
  <si>
    <t>5.</t>
  </si>
  <si>
    <t>Gifted/Talented Weight Factor (60%)</t>
  </si>
  <si>
    <t>6.</t>
  </si>
  <si>
    <t>Total Level 1 State and Local Costs (A X B)</t>
  </si>
  <si>
    <t>Level 2 Eligible Local Revenue</t>
  </si>
  <si>
    <t>Total State Share Implementation of</t>
  </si>
  <si>
    <t>A.</t>
  </si>
  <si>
    <t>B.</t>
  </si>
  <si>
    <t>C.</t>
  </si>
  <si>
    <t>D.</t>
  </si>
  <si>
    <t>E.</t>
  </si>
  <si>
    <t>G.</t>
  </si>
  <si>
    <t>H.</t>
  </si>
  <si>
    <t>I.</t>
  </si>
  <si>
    <t>J.</t>
  </si>
  <si>
    <t>L.</t>
  </si>
  <si>
    <t>M.</t>
  </si>
  <si>
    <t xml:space="preserve">TOTAL </t>
  </si>
  <si>
    <t>Change</t>
  </si>
  <si>
    <t>Change
(Increase)</t>
  </si>
  <si>
    <t>Change
(Decrease)</t>
  </si>
  <si>
    <t>MFP Formula Items</t>
  </si>
  <si>
    <t xml:space="preserve">Economy-of-Scale Weight Factor </t>
  </si>
  <si>
    <t>Total Local Revenues in MFP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</si>
  <si>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</si>
  <si>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</si>
  <si>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</si>
  <si>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</si>
  <si>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</si>
  <si>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</si>
  <si>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LEA</t>
  </si>
  <si>
    <t xml:space="preserve">cols. + 2+  3 + 4 + 5 + 6 </t>
  </si>
  <si>
    <t>AFR kpc 63320 col. 5</t>
  </si>
  <si>
    <t>if col 1 is less than 7500, then 7500 less col 1, otherwise 0</t>
  </si>
  <si>
    <t>col 6a / 37,500 max of 20% (7,500/37,500)</t>
  </si>
  <si>
    <t>col. 6b x  col. 1</t>
  </si>
  <si>
    <t>col. 8 x col. 9</t>
  </si>
  <si>
    <t>col. 1 + col. 7</t>
  </si>
  <si>
    <t>School</t>
  </si>
  <si>
    <t>At-Risk Weight Factor (22%)</t>
  </si>
  <si>
    <t>Career &amp; Technical Weight Factor (6%)</t>
  </si>
  <si>
    <t>Mandated Cost Adjustment ($100)</t>
  </si>
  <si>
    <t>FY2008-09 Budgeted Average Teacher Salary</t>
  </si>
  <si>
    <t xml:space="preserve">Total State Formula  Allocation </t>
  </si>
  <si>
    <t>Rank</t>
  </si>
  <si>
    <t>Hold Harmless</t>
  </si>
  <si>
    <t>Total Weighted Membership</t>
  </si>
  <si>
    <t>No. of Districts</t>
  </si>
  <si>
    <t>Level 3 State Funding for Foreign Associate Teachers</t>
  </si>
  <si>
    <t>LEVEL 1 &amp; 2 STATE INCREASES AND ADJUSTMENTS</t>
  </si>
  <si>
    <t>St. John the Baptist</t>
  </si>
  <si>
    <t>MFP Simulation Summary (6-11-07)</t>
  </si>
  <si>
    <t>Level 1 and 2 State Share (C1+E1)</t>
  </si>
  <si>
    <t>F.</t>
  </si>
  <si>
    <t>Table 3, total of col.33</t>
  </si>
  <si>
    <t>col. 1 * col. 2</t>
  </si>
  <si>
    <t>(6a)</t>
  </si>
  <si>
    <t>R.S. 17:350.21 Lab School Funding</t>
  </si>
  <si>
    <t>TABLE 1: STATE LEVEL COMPARISON</t>
  </si>
  <si>
    <t>8.</t>
  </si>
  <si>
    <t>Per 
Pupil
Amount</t>
  </si>
  <si>
    <t xml:space="preserve">
COMPUTED SALES 
TAX BASE
 PERCENT CHANGE</t>
  </si>
  <si>
    <t xml:space="preserve">Economy-of-Scale 
Weighted 
Add-On Units </t>
  </si>
  <si>
    <t>ELIGIBLE
 LOCAL REVENUE
 LEVEL 2</t>
  </si>
  <si>
    <t>School System</t>
  </si>
  <si>
    <t>Plus/(Minus) Prior Year Adjustments</t>
  </si>
  <si>
    <t xml:space="preserve"> Local Deduction (Property, Sales &amp; Other Revenue)(continued)</t>
  </si>
  <si>
    <t>Certificated Pay Raise Per Pupil Amount</t>
  </si>
  <si>
    <t>Support Worker Pay Raise Per Pupil Amount</t>
  </si>
  <si>
    <t>Central Community</t>
  </si>
  <si>
    <t>% Change</t>
  </si>
  <si>
    <t xml:space="preserve">TOTAL
LEVEL 1
COSTS </t>
  </si>
  <si>
    <t>Local Share of 
Level 1
(DEDUCTION for Property &amp; Sales and Other Revenues)</t>
  </si>
  <si>
    <t xml:space="preserve">Local Revenue
 Limit on 
Level 2 State Support </t>
  </si>
  <si>
    <t>LOCAL SHARE 
of Level 2</t>
  </si>
  <si>
    <t>MFP 
State Average
 Per Pupil (L1,L2+L3)</t>
  </si>
  <si>
    <t>Projected Yield of Sales Tax Rate of</t>
  </si>
  <si>
    <t xml:space="preserve">Projected Yield of Property Tax Millage Rate of </t>
  </si>
  <si>
    <t>11a</t>
  </si>
  <si>
    <t>3a</t>
  </si>
  <si>
    <t>3b</t>
  </si>
  <si>
    <t>3c</t>
  </si>
  <si>
    <t>Hold Harmless (Total)</t>
  </si>
  <si>
    <t>TOTAL AD VALOREM TAXES
(NON DEBT)</t>
  </si>
  <si>
    <t>Per Pupil 
Local Share
 of Level 1</t>
  </si>
  <si>
    <t xml:space="preserve">Rank
</t>
  </si>
  <si>
    <t>Local Revenue as Percent of Total State and Local</t>
  </si>
  <si>
    <t>Table 6:  Calculation of the Local Deduction</t>
  </si>
  <si>
    <t>1.95% / .95%</t>
  </si>
  <si>
    <t>Per Pupil based on February 1 Membership</t>
  </si>
  <si>
    <t>Total MFP Allocation (H+I+J+K)</t>
  </si>
  <si>
    <t>N.</t>
  </si>
  <si>
    <t>2007-08
Pay Raise Continuation</t>
  </si>
  <si>
    <t>2007-08 
Certificated 
Pay Raise 
Continuation</t>
  </si>
  <si>
    <t>2007-08
 Support 
Worker
 Pay Raise
Continuation</t>
  </si>
  <si>
    <t>Certificated Staff Pay Raise (FY 07/08)</t>
  </si>
  <si>
    <t>Support Worker Pay Raise (FY 07/08)</t>
  </si>
  <si>
    <t>Remaining
Hold 
Harmless
(FY2007/08)</t>
  </si>
  <si>
    <t>Weighted
 Add-On 
Units
Career &amp; Technical</t>
  </si>
  <si>
    <t>FY07/08
Audit 
Adjustments</t>
  </si>
  <si>
    <t>Continuation of FY2007-08 Pay Raise</t>
  </si>
  <si>
    <t>Total Net Assessed Property (capped at 10%)</t>
  </si>
  <si>
    <r>
      <t>Adjusted</t>
    </r>
    <r>
      <rPr>
        <b/>
        <sz val="10"/>
        <color indexed="18"/>
        <rFont val="Arial"/>
        <family val="2"/>
      </rPr>
      <t xml:space="preserve">
Student 
Mem-bership
</t>
    </r>
    <r>
      <rPr>
        <b/>
        <sz val="8"/>
        <color indexed="18"/>
        <rFont val="Arial"/>
        <family val="2"/>
      </rPr>
      <t>10/1/08</t>
    </r>
  </si>
  <si>
    <r>
      <t>Adjusted</t>
    </r>
    <r>
      <rPr>
        <b/>
        <sz val="10"/>
        <color indexed="18"/>
        <rFont val="Arial"/>
        <family val="2"/>
      </rPr>
      <t xml:space="preserve">
Student 
Membership</t>
    </r>
    <r>
      <rPr>
        <b/>
        <sz val="8"/>
        <color indexed="18"/>
        <rFont val="Arial"/>
        <family val="2"/>
      </rPr>
      <t xml:space="preserve">
(10/1/08)</t>
    </r>
  </si>
  <si>
    <r>
      <t>Adjusted</t>
    </r>
    <r>
      <rPr>
        <b/>
        <sz val="10"/>
        <color indexed="18"/>
        <rFont val="Arial"/>
        <family val="2"/>
      </rPr>
      <t xml:space="preserve">
October 1, 2008
MFP 
Membership</t>
    </r>
  </si>
  <si>
    <r>
      <t>Adjusted</t>
    </r>
    <r>
      <rPr>
        <b/>
        <sz val="10"/>
        <color indexed="18"/>
        <rFont val="Arial"/>
        <family val="2"/>
      </rPr>
      <t xml:space="preserve">
MFP
Student 
Membership
</t>
    </r>
    <r>
      <rPr>
        <b/>
        <sz val="8"/>
        <color indexed="18"/>
        <rFont val="Arial"/>
        <family val="2"/>
      </rPr>
      <t>10/1/08</t>
    </r>
  </si>
  <si>
    <t>Total Est. Sales Tax Base (capped at 15%)</t>
  </si>
  <si>
    <t>State Share of Cost (65%)</t>
  </si>
  <si>
    <t>Local Share of Cost (35%)</t>
  </si>
  <si>
    <t xml:space="preserve">Level 2 State Support </t>
  </si>
  <si>
    <t xml:space="preserve">Total MFP Distribution (L + M) </t>
  </si>
  <si>
    <t>Orleans Parish School Board</t>
  </si>
  <si>
    <t>Weighted
Add-on 
Students
At Risk 
(with LEP)</t>
  </si>
  <si>
    <t xml:space="preserve">Weighted
Add-On
Students 
Other Exceptionalities </t>
  </si>
  <si>
    <t xml:space="preserve">Weighted
Add-On 
Students
Gifted/Talented </t>
  </si>
  <si>
    <t xml:space="preserve">Total Weighted 
Add-On 
Students
and/or Units </t>
  </si>
  <si>
    <t xml:space="preserve">Total 
Weighted
Membership
and/or Units </t>
  </si>
  <si>
    <t>DIST. 
REVENUE 
AMOUNT</t>
  </si>
  <si>
    <t>Stipend for First Year Foreign Associate Teachers</t>
  </si>
  <si>
    <t>Stipend for Second and Third Year Foreign Associate Teachers</t>
  </si>
  <si>
    <t>TOTAL 
SALES TAX REVENUE
(2007-08)</t>
  </si>
  <si>
    <t>TOTAL 
AD VALOREM 
REVENUE 
INCLUDING DEBT
(2007-08)</t>
  </si>
  <si>
    <t xml:space="preserve">  2007 ASSESSED PROPERTY VALUE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</si>
  <si>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</si>
  <si>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</si>
  <si>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</si>
  <si>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</si>
  <si>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</si>
  <si>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</si>
  <si>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</si>
  <si>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</si>
  <si>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</si>
  <si>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</si>
  <si>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</si>
  <si>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</si>
  <si>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</si>
  <si>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</si>
  <si>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</si>
  <si>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</si>
  <si>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</si>
  <si>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</si>
  <si>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</si>
  <si>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</si>
  <si>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</si>
  <si>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</si>
  <si>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</si>
  <si>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</si>
  <si>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</si>
  <si>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</si>
  <si>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</si>
  <si>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</si>
  <si>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</si>
  <si>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</si>
  <si>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</si>
  <si>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</si>
  <si>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</si>
  <si>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</si>
  <si>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</si>
  <si>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</si>
  <si>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</si>
  <si>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</si>
  <si>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</si>
  <si>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</si>
  <si>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r>
      <t xml:space="preserve">AT-RISK 
STUDENTS 
</t>
    </r>
    <r>
      <rPr>
        <sz val="10"/>
        <color indexed="18"/>
        <rFont val="Arial"/>
        <family val="2"/>
      </rPr>
      <t>(Per SIS 
2.1.09)</t>
    </r>
  </si>
  <si>
    <r>
      <t xml:space="preserve">
CAREER &amp; 
TECHNICAL
 ED UNITS
</t>
    </r>
    <r>
      <rPr>
        <sz val="10"/>
        <color indexed="18"/>
        <rFont val="Arial"/>
        <family val="2"/>
      </rPr>
      <t>(Per LEADS 
10-1-08)</t>
    </r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</si>
  <si>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</si>
  <si>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</si>
  <si>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</si>
  <si>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</si>
  <si>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</si>
  <si>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</si>
  <si>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the Baptist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</si>
  <si>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</si>
  <si>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</si>
  <si>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</si>
  <si>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</si>
  <si>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</si>
  <si>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</si>
  <si>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</si>
  <si>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</si>
  <si>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</si>
  <si>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</si>
  <si>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</si>
  <si>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</si>
  <si>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</si>
  <si>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</si>
  <si>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</si>
  <si>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</si>
  <si>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</si>
  <si>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</si>
  <si>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</si>
  <si>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</si>
  <si>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</si>
  <si>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LEA TOTALS</t>
  </si>
  <si>
    <t>LSU Lab School</t>
  </si>
  <si>
    <t>Southern Lab School</t>
  </si>
  <si>
    <t>Total Lab Schools</t>
  </si>
  <si>
    <t>Recovery School District - Orleans (RSD Operated)</t>
  </si>
  <si>
    <t>New Beginnings, UNO (Medard Nelson)</t>
  </si>
  <si>
    <t>Dryades (James M. Singleton Charter Middle)</t>
  </si>
  <si>
    <t>Friends of King (Martin Luther King Elem.)</t>
  </si>
  <si>
    <t>New Orleans Charter School Fdtn. (N. O.Free)</t>
  </si>
  <si>
    <t>New Orleans Charter School Fdtn. (Mc #28 City Park)</t>
  </si>
  <si>
    <t>Choice Foundation (Lafayette Academy)</t>
  </si>
  <si>
    <t>Algiers Charter School Assoc. (Harriet Tubman)</t>
  </si>
  <si>
    <t>Algiers Charter School Assoc. (O. P. Walker Sr. High)</t>
  </si>
  <si>
    <t>Algiers Charter School Assoc. (McDonogh #32)</t>
  </si>
  <si>
    <t>Algiers Charter School Assoc. (William J. Fischer)</t>
  </si>
  <si>
    <t>Algiers Charter School Assoc. (Dwight D. Eisenhower)</t>
  </si>
  <si>
    <t>Algiers Charter School Assoc. (Martin Behrman)</t>
  </si>
  <si>
    <t>Algiers Charter School Assoc. (ACSA Tech High at Rosenwald)</t>
  </si>
  <si>
    <t>Instititute of Academic Excellence, SUNO  (Sophie B. Wright)</t>
  </si>
  <si>
    <t>KIPP New Orleans (McDonogh #15)</t>
  </si>
  <si>
    <t>KIPP New Orleans (Edward Phillips/Kipp Believe)</t>
  </si>
  <si>
    <t>KIPP New Orleans (KIPP Central City Academy)</t>
  </si>
  <si>
    <t>Middle School Advocates (Samuel J. Green)</t>
  </si>
  <si>
    <t>Treme Charter School Assoc. (McDonogh #42)</t>
  </si>
  <si>
    <t>Pelican Educational (Abrahamson Science &amp; Math)</t>
  </si>
  <si>
    <t>NOLA 180 (Langston Hughes Academy/Marshall)</t>
  </si>
  <si>
    <t>Broadmoor Charter (Andrew H. Wilson/Mc #7)</t>
  </si>
  <si>
    <t>N.O. College Prep Academies (N. O. College Prep /S. Williams)</t>
  </si>
  <si>
    <t>Advocates for Science &amp; Math (N.O. Charter Science)</t>
  </si>
  <si>
    <t>Advocates for Arts and Tech. (Crocker Arts)</t>
  </si>
  <si>
    <t>Akili Academy of New Orleans (Akili Academy)</t>
  </si>
  <si>
    <t>Intercultural Charter School Brd. (Intercultural Charter)</t>
  </si>
  <si>
    <t>KIPP New Orleans, Inc. (KIPP Central City Primary)</t>
  </si>
  <si>
    <t>Miller-McCoy Academy (Miller-McCoy Academy)</t>
  </si>
  <si>
    <t>Sojourner Truth Academy (Sojourner Truth)</t>
  </si>
  <si>
    <t>TOTAL RSD Orleans (Operated + Chartered)</t>
  </si>
  <si>
    <t>Total Type 5 Charters - EBR</t>
  </si>
  <si>
    <t>Total Type 5 Charters - Pointe Coupee</t>
  </si>
  <si>
    <t>Notes:</t>
  </si>
  <si>
    <t>for TIF Revenues</t>
  </si>
  <si>
    <t>for Livingston</t>
  </si>
  <si>
    <t>2007
Ad Valorem 
Tax Revenues
(per 07/08 AFR)</t>
  </si>
  <si>
    <t>2007
Net Assessed 
Property
(with 10% Cap)</t>
  </si>
  <si>
    <t>FY2007-08
Sales Tax Revenue
(per 07/08 AFR)</t>
  </si>
  <si>
    <t>FY2007-08
Computed Sales Tax Base with 15% Cap on Growth</t>
  </si>
  <si>
    <t>OTHER REVENUES:  
Includes State and Federal taxes in lieu of &amp; 50% of earnings from 16th section and from other real estate
2007/08 AFR</t>
  </si>
  <si>
    <t>Pre-School</t>
  </si>
  <si>
    <t>ECONOMY-
OF-SCALE 
PERCENT 
SUPPORT</t>
  </si>
  <si>
    <t>ECONOMY-OF-SCALE:
If &lt; 7500, then 
7500 less 
February
Membership</t>
  </si>
  <si>
    <t>*</t>
  </si>
  <si>
    <t>Total Revenue 
(for Use in MFP Level 1 and 2)</t>
  </si>
  <si>
    <t>Local Deduction (Property, Sales &amp; Other Revenue)</t>
  </si>
  <si>
    <t>Other Revenue</t>
  </si>
  <si>
    <t>State 
Share
 %</t>
  </si>
  <si>
    <t>Local 
Share
 %</t>
  </si>
  <si>
    <t>(actual revenues using rates)</t>
  </si>
  <si>
    <t>local deduct percentage calculation</t>
  </si>
  <si>
    <r>
      <t>LSU</t>
    </r>
    <r>
      <rPr>
        <sz val="10"/>
        <rFont val="Arial"/>
        <family val="0"/>
      </rPr>
      <t xml:space="preserve">
Lab. School</t>
    </r>
  </si>
  <si>
    <r>
      <t>Southern Univ.</t>
    </r>
    <r>
      <rPr>
        <sz val="10"/>
        <rFont val="Arial"/>
        <family val="0"/>
      </rPr>
      <t xml:space="preserve">
Lab. School</t>
    </r>
  </si>
  <si>
    <t>School
System</t>
  </si>
  <si>
    <t>Adjustments Due to Student, 
CAFR/AFR and PEP Audits</t>
  </si>
  <si>
    <t>Total Audit 
Adjustments</t>
  </si>
  <si>
    <t>Due 
District
(+)</t>
  </si>
  <si>
    <t>Due 
State
(-)</t>
  </si>
  <si>
    <t>Per Pupil 
Amount</t>
  </si>
  <si>
    <t>Local Share
of Level 1
with 75% max Local Share
(DEDUCTION for Property &amp; Sales and Other Revenues)</t>
  </si>
  <si>
    <t xml:space="preserve">Actual 
Sales and Property
Tax Revenues
(Including Debt) 
Plus Other Revenue </t>
  </si>
  <si>
    <t xml:space="preserve">Local Revenue
Over
Level 1 </t>
  </si>
  <si>
    <t xml:space="preserve">Local Revenue 
Under Level 1 </t>
  </si>
  <si>
    <t>Per Pupil
Amount</t>
  </si>
  <si>
    <t>MFP  
Allocation</t>
  </si>
  <si>
    <t>2007-08 Pay Raise Continuation</t>
  </si>
  <si>
    <t>41.92 / 20.32</t>
  </si>
  <si>
    <t>Plus/(Minus) Prior Year Adjustments - LSU/SU Lab Schools</t>
  </si>
  <si>
    <t>Support 
Worker
 Pay 
Raise 
Per 
Pupil
 Amount</t>
  </si>
  <si>
    <r>
      <t>Adjusted</t>
    </r>
    <r>
      <rPr>
        <b/>
        <sz val="10"/>
        <color indexed="18"/>
        <rFont val="Arial"/>
        <family val="2"/>
      </rPr>
      <t xml:space="preserve">
Student 
Membership
</t>
    </r>
    <r>
      <rPr>
        <b/>
        <sz val="8"/>
        <color indexed="18"/>
        <rFont val="Arial"/>
        <family val="2"/>
      </rPr>
      <t>10/1/07</t>
    </r>
  </si>
  <si>
    <r>
      <t>Adjusted</t>
    </r>
    <r>
      <rPr>
        <b/>
        <sz val="10"/>
        <color indexed="18"/>
        <rFont val="Arial"/>
        <family val="2"/>
      </rPr>
      <t xml:space="preserve">
Student 
Mem-bership
</t>
    </r>
    <r>
      <rPr>
        <b/>
        <sz val="8"/>
        <color indexed="18"/>
        <rFont val="Arial"/>
        <family val="2"/>
      </rPr>
      <t>10/1/07</t>
    </r>
  </si>
  <si>
    <r>
      <t>Glen Oaks Middle</t>
    </r>
    <r>
      <rPr>
        <b/>
        <sz val="12"/>
        <rFont val="Arial"/>
        <family val="2"/>
      </rPr>
      <t xml:space="preserve">
(Advance BR)</t>
    </r>
  </si>
  <si>
    <r>
      <t>Prescott Middle</t>
    </r>
    <r>
      <rPr>
        <b/>
        <sz val="12"/>
        <rFont val="Arial"/>
        <family val="2"/>
      </rPr>
      <t xml:space="preserve">
(Advance BR)</t>
    </r>
  </si>
  <si>
    <r>
      <t>Capitol Pre-College for Boys</t>
    </r>
    <r>
      <rPr>
        <b/>
        <sz val="12"/>
        <rFont val="Arial"/>
        <family val="2"/>
      </rPr>
      <t xml:space="preserve">
(100 Black Men)</t>
    </r>
  </si>
  <si>
    <r>
      <t>Capitol Pre-College for Girls</t>
    </r>
    <r>
      <rPr>
        <b/>
        <sz val="12"/>
        <rFont val="Arial"/>
        <family val="2"/>
      </rPr>
      <t xml:space="preserve">
(100 Black Men)</t>
    </r>
  </si>
  <si>
    <r>
      <t>Pointe Coupee Central High</t>
    </r>
    <r>
      <rPr>
        <b/>
        <sz val="12"/>
        <rFont val="Arial"/>
        <family val="2"/>
      </rPr>
      <t xml:space="preserve">
(Advance BR)</t>
    </r>
  </si>
  <si>
    <t>Total Type 5 Charters 
East Baton Rouge Parish</t>
  </si>
  <si>
    <t>Linear Middle</t>
  </si>
  <si>
    <t>Linwood M iddle</t>
  </si>
  <si>
    <t>Total Type 5 Charters 
Caddo Parish</t>
  </si>
  <si>
    <t>Total Caddo Parish + RSD</t>
  </si>
  <si>
    <t>Total RSD LA</t>
  </si>
  <si>
    <r>
      <t xml:space="preserve">Feb. 1, 
2009
MFP 
Member-
ship
</t>
    </r>
    <r>
      <rPr>
        <b/>
        <sz val="8"/>
        <color indexed="18"/>
        <rFont val="Arial"/>
        <family val="2"/>
      </rPr>
      <t>(Per SIS)*</t>
    </r>
  </si>
  <si>
    <r>
      <t xml:space="preserve">State Share
Per Pupil
(Levels 
1, 2  &amp; 3)
</t>
    </r>
    <r>
      <rPr>
        <sz val="10"/>
        <color indexed="18"/>
        <rFont val="Arial"/>
        <family val="2"/>
      </rPr>
      <t>(Table 3, 
col. 29)</t>
    </r>
  </si>
  <si>
    <r>
      <t xml:space="preserve">2008-09 Certificated Pay Raise Supplement (Dec. 2008)
</t>
    </r>
    <r>
      <rPr>
        <sz val="8"/>
        <rFont val="Arial"/>
        <family val="2"/>
      </rPr>
      <t>* See note below</t>
    </r>
  </si>
  <si>
    <t>2008-09 
Pay Raise Continuation</t>
  </si>
  <si>
    <t>2008-09 Certificated Pay Raise Supplement (Dec 2008)</t>
  </si>
  <si>
    <t>Continuation of FY2008/09 Pay Raise</t>
  </si>
  <si>
    <t>EBR:</t>
  </si>
  <si>
    <t>See
Table 2</t>
  </si>
  <si>
    <t>EBRPSB
East Baton Rouge Parish</t>
  </si>
  <si>
    <r>
      <t xml:space="preserve">PCPSB
</t>
    </r>
    <r>
      <rPr>
        <sz val="12"/>
        <rFont val="Arial"/>
        <family val="2"/>
      </rPr>
      <t>Pointe Coupee Parish</t>
    </r>
  </si>
  <si>
    <t>Total Pointe Coupee + RSD</t>
  </si>
  <si>
    <t>CPSB
Caddo Parish</t>
  </si>
  <si>
    <t>41.01 / 18.77</t>
  </si>
  <si>
    <t>1.96% / .90%</t>
  </si>
  <si>
    <t xml:space="preserve">Oct.1, 2008 Certificated Staff Plus Personnel Directors and School Nurses </t>
  </si>
  <si>
    <r>
      <t xml:space="preserve">50% Distribution Amount for Certificated Pay Increase </t>
    </r>
    <r>
      <rPr>
        <b/>
        <u val="single"/>
        <sz val="10"/>
        <color indexed="20"/>
        <rFont val="Arial"/>
        <family val="2"/>
      </rPr>
      <t>Excluding</t>
    </r>
    <r>
      <rPr>
        <b/>
        <u val="single"/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Retirement Contribution of 15.5% and Medicare of 1.45%</t>
    </r>
  </si>
  <si>
    <r>
      <t xml:space="preserve">2007-08 Certificated Pay Raise Supplement (Dec 2007)
</t>
    </r>
    <r>
      <rPr>
        <sz val="8"/>
        <rFont val="Arial"/>
        <family val="2"/>
      </rPr>
      <t>* See note below</t>
    </r>
  </si>
  <si>
    <r>
      <t xml:space="preserve">2007-08
Support Worker 
Pay Raise
Supplement
(Dec 2007)
</t>
    </r>
    <r>
      <rPr>
        <sz val="10"/>
        <rFont val="Arial"/>
        <family val="2"/>
      </rPr>
      <t>*</t>
    </r>
    <r>
      <rPr>
        <sz val="8"/>
        <rFont val="Arial"/>
        <family val="2"/>
      </rPr>
      <t xml:space="preserve"> See note below</t>
    </r>
  </si>
  <si>
    <r>
      <t>Adjusted</t>
    </r>
    <r>
      <rPr>
        <b/>
        <sz val="10"/>
        <color indexed="18"/>
        <rFont val="Arial"/>
        <family val="2"/>
      </rPr>
      <t xml:space="preserve">
Student Member-ship
</t>
    </r>
    <r>
      <rPr>
        <b/>
        <sz val="8"/>
        <color indexed="18"/>
        <rFont val="Arial"/>
        <family val="2"/>
      </rPr>
      <t>10/1/07</t>
    </r>
  </si>
  <si>
    <t>2007-08 
Certificated
 Pay Raise 
Supplement
 (Dec 2007)</t>
  </si>
  <si>
    <t>2007-08
Support Worker 
Pay Raise
Supplement
(Dec 2007)</t>
  </si>
  <si>
    <t>Total 
Local Deduction
(sales,prop,
other)</t>
  </si>
  <si>
    <t xml:space="preserve">
Total 
Audit 
Adjustments</t>
  </si>
  <si>
    <t xml:space="preserve">Increases
 in 
MFP 
Funding </t>
  </si>
  <si>
    <t xml:space="preserve">Decreases 
in 
MFP 
Funding </t>
  </si>
  <si>
    <t>FY2009-10
 Levels 1 &amp; 2 
STATE SHARE
 OF COST</t>
  </si>
  <si>
    <t xml:space="preserve">FY2008-09
Budget Letter
Level 1 &amp; 2 State 
Share of Costs </t>
  </si>
  <si>
    <t>Change in MFP 
Distribution between 
FY2009-10
and 
FY2008-09</t>
  </si>
  <si>
    <r>
      <t xml:space="preserve">LSU Lab. School </t>
    </r>
    <r>
      <rPr>
        <sz val="12"/>
        <rFont val="Arial Narrow"/>
        <family val="2"/>
      </rPr>
      <t>(with 08/09 Pay Raise)</t>
    </r>
  </si>
  <si>
    <r>
      <t>So. Univ. Lab. School</t>
    </r>
    <r>
      <rPr>
        <sz val="12"/>
        <rFont val="Arial Narrow"/>
        <family val="2"/>
      </rPr>
      <t xml:space="preserve"> (with 08/09 Pay Raise)</t>
    </r>
  </si>
  <si>
    <t>Certificated Staff Pay Raise (FY 08/09)</t>
  </si>
  <si>
    <t>FY08/09
Audit 
Adjustments</t>
  </si>
  <si>
    <r>
      <t>Total
Level 3
Unequalized 
Funding</t>
    </r>
    <r>
      <rPr>
        <b/>
        <sz val="10"/>
        <color indexed="18"/>
        <rFont val="Arial"/>
        <family val="2"/>
      </rPr>
      <t xml:space="preserve">
(Without Continuation of FY07/08 and FY08/09 Pay Raises)</t>
    </r>
  </si>
  <si>
    <t>Without Continuation of FY2007/08 &amp; FY2008-09 Pay Raise</t>
  </si>
  <si>
    <t>Total 
FY2009-10 MFP 
Allocation 
plus
Continuation 
of FY2007/08
&amp; FY2008/09
Pay Raises</t>
  </si>
  <si>
    <t>2008-09 Pay Raise Continuation</t>
  </si>
  <si>
    <t>With Continuation of FY2007-08 &amp; FY2008-09 Pay Raise</t>
  </si>
  <si>
    <t>2007
TOTAL ASSESSED PROPERTY VALUE</t>
  </si>
  <si>
    <t>2007
ASSESSED HOMESTEAD EXEMPTION</t>
  </si>
  <si>
    <t>2007
NET ASSESSED TAXABLE PROPERTY</t>
  </si>
  <si>
    <t>(Prior Year)
 2006
Net Assessed Taxable Property (Without cap)</t>
  </si>
  <si>
    <t>2007
NET ASSESSED TAXABLE PROPERTY
with Cap of</t>
  </si>
  <si>
    <t>Feb. 1, 2009
MFP Funded
Membership
(Per SIS)</t>
  </si>
  <si>
    <r>
      <t>Adjusted</t>
    </r>
    <r>
      <rPr>
        <b/>
        <sz val="10"/>
        <color indexed="18"/>
        <rFont val="Arial"/>
        <family val="2"/>
      </rPr>
      <t xml:space="preserve"> 
Pay Raise
Continuation
Per Pupil 
Amount
from 
Prior Years</t>
    </r>
  </si>
  <si>
    <t>Continuation 
of
 Prior Year 
Pay Raises</t>
  </si>
  <si>
    <r>
      <t xml:space="preserve">Continuation of Prior Year Pay Raises
</t>
    </r>
    <r>
      <rPr>
        <b/>
        <sz val="10"/>
        <color indexed="18"/>
        <rFont val="Arial"/>
        <family val="2"/>
      </rPr>
      <t>(2001-02 Certificated, 2002-03 Support Worker, 
and 2006-07 Certificated and Support Worker)</t>
    </r>
  </si>
  <si>
    <t>Remaining
Hold 
Harmless
(FY2009/10)</t>
  </si>
  <si>
    <t>One-Tenth (FY09/10)
Reduction of 
Remaining
 Hold Harmless</t>
  </si>
  <si>
    <t>Feb. 1, 2009 
Member-
ship 
(per SIS)</t>
  </si>
  <si>
    <t>Advocates for Science &amp; Math
(New Orleans Charter Science)</t>
  </si>
  <si>
    <r>
      <t xml:space="preserve">Advocates for Arts and Tech.
</t>
    </r>
    <r>
      <rPr>
        <sz val="11"/>
        <rFont val="Futura Lt BT"/>
        <family val="2"/>
      </rPr>
      <t>(Crocker Arts)</t>
    </r>
  </si>
  <si>
    <r>
      <t xml:space="preserve">Akili Academy of New Orleans
</t>
    </r>
    <r>
      <rPr>
        <sz val="11"/>
        <rFont val="Futura Lt BT"/>
        <family val="2"/>
      </rPr>
      <t>(Akili Academy)</t>
    </r>
  </si>
  <si>
    <r>
      <t xml:space="preserve">Intercultural Charter School Brd.
</t>
    </r>
    <r>
      <rPr>
        <sz val="11"/>
        <rFont val="Futura Lt BT"/>
        <family val="2"/>
      </rPr>
      <t>(Intercultural Charter)</t>
    </r>
  </si>
  <si>
    <r>
      <t xml:space="preserve">KIPP New Orleans, Inc.
</t>
    </r>
    <r>
      <rPr>
        <sz val="11"/>
        <rFont val="Futura Lt BT"/>
        <family val="2"/>
      </rPr>
      <t>(Kipp Central City)</t>
    </r>
  </si>
  <si>
    <r>
      <t xml:space="preserve">New Beginnings Schools Foundation
</t>
    </r>
    <r>
      <rPr>
        <sz val="11"/>
        <rFont val="Futura Lt BT"/>
        <family val="2"/>
      </rPr>
      <t>(Thurgood Marshall Early College HS)</t>
    </r>
  </si>
  <si>
    <r>
      <t xml:space="preserve">Benjamin E. Mays Schools
</t>
    </r>
    <r>
      <rPr>
        <sz val="11"/>
        <rFont val="Futura Lt BT"/>
        <family val="2"/>
      </rPr>
      <t>(FY2009/10 Transformation School)</t>
    </r>
  </si>
  <si>
    <r>
      <t xml:space="preserve">Success Preparatory Academy
</t>
    </r>
    <r>
      <rPr>
        <sz val="11"/>
        <rFont val="Futura Lt BT"/>
        <family val="2"/>
      </rPr>
      <t>(FY2009/10 Transformation School)</t>
    </r>
  </si>
  <si>
    <r>
      <t xml:space="preserve">Arise Academy
</t>
    </r>
    <r>
      <rPr>
        <sz val="11"/>
        <rFont val="Futura Lt BT"/>
        <family val="2"/>
      </rPr>
      <t>(FY2009/10 Transformation School)</t>
    </r>
  </si>
  <si>
    <r>
      <t xml:space="preserve">Sojourner Truth Academy
</t>
    </r>
    <r>
      <rPr>
        <sz val="11"/>
        <rFont val="Futura Lt BT"/>
        <family val="2"/>
      </rPr>
      <t>(Sojourner Truth)</t>
    </r>
  </si>
  <si>
    <r>
      <t xml:space="preserve">Miller-McCoy Academy
</t>
    </r>
    <r>
      <rPr>
        <sz val="11"/>
        <rFont val="Futura Lt BT"/>
        <family val="2"/>
      </rPr>
      <t>(Mililer-McCoy Academy)</t>
    </r>
  </si>
  <si>
    <r>
      <t xml:space="preserve">Esperanza Charter School Assoc 
</t>
    </r>
    <r>
      <rPr>
        <sz val="11"/>
        <rFont val="Futura Lt BT"/>
        <family val="2"/>
      </rPr>
      <t>(Esperanza/Crossman)</t>
    </r>
  </si>
  <si>
    <r>
      <t xml:space="preserve">N.O. College Prep Academies
</t>
    </r>
    <r>
      <rPr>
        <sz val="11"/>
        <rFont val="Futura Lt BT"/>
        <family val="2"/>
      </rPr>
      <t>(N. O. College Prep /S. Williams)</t>
    </r>
  </si>
  <si>
    <r>
      <t xml:space="preserve">Broadmoor Charter
</t>
    </r>
    <r>
      <rPr>
        <sz val="11"/>
        <rFont val="Futura Lt BT"/>
        <family val="2"/>
      </rPr>
      <t xml:space="preserve"> (Andrew H. Wilson/Mc #7)</t>
    </r>
  </si>
  <si>
    <r>
      <t xml:space="preserve">NOLA 180 
</t>
    </r>
    <r>
      <rPr>
        <sz val="11"/>
        <rFont val="Futura Lt BT"/>
        <family val="2"/>
      </rPr>
      <t>(Langston Hughes Academy/Marshall)</t>
    </r>
  </si>
  <si>
    <r>
      <t xml:space="preserve">Pelican Educational
</t>
    </r>
    <r>
      <rPr>
        <sz val="11"/>
        <rFont val="Futura Lt BT"/>
        <family val="2"/>
      </rPr>
      <t>(Abrahamson Science &amp; Math)</t>
    </r>
  </si>
  <si>
    <r>
      <t xml:space="preserve">Treme Charter School Assoc
</t>
    </r>
    <r>
      <rPr>
        <sz val="11"/>
        <rFont val="Futura Lt BT"/>
        <family val="2"/>
      </rPr>
      <t xml:space="preserve"> (McDonogh #42)</t>
    </r>
  </si>
  <si>
    <r>
      <t xml:space="preserve">Middle School Advocates 
</t>
    </r>
    <r>
      <rPr>
        <sz val="11"/>
        <rFont val="Futura Lt BT"/>
        <family val="2"/>
      </rPr>
      <t>(N. O. Charter Middle at Ashe)</t>
    </r>
  </si>
  <si>
    <t>Reduction
in
Local
Allocation
per
Court Order</t>
  </si>
  <si>
    <t>Total
Local
 Allocation
Plus
Reduction
per
Court Order</t>
  </si>
  <si>
    <t>LA Dept. of Education
Administration Fee</t>
  </si>
  <si>
    <t>LA Dept. of Education Admin. Fee
from Madison Prep Academy</t>
  </si>
  <si>
    <t>LA Dept. of Education Admin. Fee
from D'Arbonne Woods Charter</t>
  </si>
  <si>
    <t>Y-T-D
State 
Payments</t>
  </si>
  <si>
    <r>
      <t xml:space="preserve">FY2009-10
Foreign 
Language 
Associate 
Teacher 
Stipends
</t>
    </r>
    <r>
      <rPr>
        <sz val="10"/>
        <color indexed="18"/>
        <rFont val="Arial"/>
        <family val="2"/>
      </rPr>
      <t>(paid in 
August 2009)</t>
    </r>
  </si>
  <si>
    <t xml:space="preserve">Total MFP
Allocation 
+
Continuation 
of Pay Raises
</t>
  </si>
  <si>
    <t>Monthly 
Payment
Amount</t>
  </si>
  <si>
    <t>FY2009-10
Stabilization Funds (SFSF)</t>
  </si>
  <si>
    <t>FY2009-10
Total MFP
Distribution 
minus
Stabilzation Funds (SFSF)</t>
  </si>
  <si>
    <t>New Beginnings, UNO (Capdau without Early College H.S.)</t>
  </si>
  <si>
    <t>Algiers Charter School Assoc.  (William J. Fischer)</t>
  </si>
  <si>
    <t>Middle School Advocates (N. O. Charter Middle at Ashe)</t>
  </si>
  <si>
    <t>Treme Charter School Assoc (McDonogh #42)</t>
  </si>
  <si>
    <t>Advocates for Science &amp; Math (New Orleans Charter Science)</t>
  </si>
  <si>
    <t>KIPP New Orleans, Inc. (Kipp Central City)</t>
  </si>
  <si>
    <t>Miller-McCoy Academy (Mililer-McCoy Academy)</t>
  </si>
  <si>
    <t>Pride College Prep Academy (FY2009/10 Transformation School)</t>
  </si>
  <si>
    <t>Arise Academy (FY2009/10 Transformation School)</t>
  </si>
  <si>
    <t>Success Preparatory Academy (FY2009/10 Transformation School)</t>
  </si>
  <si>
    <t>Benjamin E. Mays Schools (FY2009/10 Transformation School)</t>
  </si>
  <si>
    <t>New Beginnings (Thurgood Marshall Early College HS)</t>
  </si>
  <si>
    <t>Glen Oaks Middle (Advance BR)</t>
  </si>
  <si>
    <t>Prescott Middle (Advance BR)</t>
  </si>
  <si>
    <t>Capitol Pre-College for Boys (100 Black Men)</t>
  </si>
  <si>
    <t>Capitol Pre-College for Girls (100 Black Men)</t>
  </si>
  <si>
    <t>Dalton Elementary (Advance BR)</t>
  </si>
  <si>
    <t>Lanier Elementary (Advance BR)</t>
  </si>
  <si>
    <t>Crestworth Middle (Crestworth Learning Acad.)</t>
  </si>
  <si>
    <t>Kenilworth Middle (Pelican Educational Fdn.)</t>
  </si>
  <si>
    <t>October 1, 2009
MFP 
Membership
(Actual SIS Data)</t>
  </si>
  <si>
    <t>Change in Membership</t>
  </si>
  <si>
    <t xml:space="preserve">Percent 
Change </t>
  </si>
  <si>
    <t>Change in Enrollment 
February 2, 2009 to 
October 1, 2009</t>
  </si>
  <si>
    <r>
      <t xml:space="preserve">February 2, 2009
MFP Membership
</t>
    </r>
    <r>
      <rPr>
        <sz val="8"/>
        <color indexed="10"/>
        <rFont val="Arial"/>
        <family val="2"/>
      </rPr>
      <t>(Actual SIS Data)</t>
    </r>
  </si>
  <si>
    <r>
      <t xml:space="preserve">Intitial MFP 
Membership 
</t>
    </r>
    <r>
      <rPr>
        <sz val="8"/>
        <color indexed="10"/>
        <rFont val="Arial"/>
        <family val="2"/>
      </rPr>
      <t>(based on 2.2.09 
SIS Data,and Initial 
Projections)</t>
    </r>
  </si>
  <si>
    <r>
      <t xml:space="preserve">Number of 
Additional 
Students
</t>
    </r>
    <r>
      <rPr>
        <sz val="8"/>
        <color indexed="10"/>
        <rFont val="Arial"/>
        <family val="2"/>
      </rPr>
      <t>(Change in Enrollment 
2.2.09 to 10.1.09; 
Must be greater than 
1% or 50 students)</t>
    </r>
  </si>
  <si>
    <t>Initial MFP 
Membership  
Funded Over/(Under)
February 2, 2009
MFP Membership</t>
  </si>
  <si>
    <t>Change in 
Initial 
MFP Funded
Student Count</t>
  </si>
  <si>
    <r>
      <t xml:space="preserve">Per Pupil 
Amount 
(Levels 1, 2 &amp;3)
per FY09-10
Budget Letter
</t>
    </r>
    <r>
      <rPr>
        <sz val="8"/>
        <color indexed="10"/>
        <rFont val="Arial"/>
        <family val="2"/>
      </rPr>
      <t>(without pay raise continuation)</t>
    </r>
  </si>
  <si>
    <t xml:space="preserve">Per Pupil
Amount FY07-08 
Certificated Staff 
and Support 
Worker Pay 
Raise 
Continuation </t>
  </si>
  <si>
    <t xml:space="preserve">Per Pupil
Amount FY08-09
Certificated Staff 
Pay Raise 
Continuation </t>
  </si>
  <si>
    <r>
      <t xml:space="preserve">Total Per Pupil
Amount Funded
</t>
    </r>
    <r>
      <rPr>
        <sz val="8"/>
        <color indexed="10"/>
        <rFont val="Arial"/>
        <family val="2"/>
      </rPr>
      <t>(Levels 1, 2 &amp; 3
plus FY07-08 
and FY08-09
Pay Raise
Continuation)</t>
    </r>
  </si>
  <si>
    <r>
      <t xml:space="preserve">Number of Additional
Students times 
FY09-10 Budget Letter
per Pupil Amount
</t>
    </r>
    <r>
      <rPr>
        <sz val="8"/>
        <color indexed="10"/>
        <rFont val="Arial"/>
        <family val="2"/>
      </rPr>
      <t>(Level 1, 2 &amp; 3 
plus FY07-08 and 
FY08-09 Pay 
Raise Continuation)</t>
    </r>
  </si>
  <si>
    <t>SIS 
Data</t>
  </si>
  <si>
    <t>Col. (1) - Col. (2)</t>
  </si>
  <si>
    <t>Col. (6) - Col. (7)</t>
  </si>
  <si>
    <t>Table 3 
Col. (29)</t>
  </si>
  <si>
    <t>Col. (3) - 
Col. (2)</t>
  </si>
  <si>
    <t>[Col. (3) - 
Col. (2)] ÷ 
Col.(2)</t>
  </si>
  <si>
    <t>Col. (3) - Col. (2)
if greater than 1% or 50</t>
  </si>
  <si>
    <t>Table 4 
Col. (21) + Col. (25)</t>
  </si>
  <si>
    <t>Table 4, Col. (29)</t>
  </si>
  <si>
    <t>Col. (9) +
Col. (10) +
Col. (11)</t>
  </si>
  <si>
    <t>Col. (8) x Col. (12)</t>
  </si>
  <si>
    <r>
      <t xml:space="preserve">Difference in
FY09-10 
MFP Funded 
Amount
and Initial Funded amount
</t>
    </r>
    <r>
      <rPr>
        <sz val="8"/>
        <color indexed="10"/>
        <rFont val="Arial"/>
        <family val="2"/>
      </rPr>
      <t>(Internal Use Only)</t>
    </r>
  </si>
  <si>
    <r>
      <t xml:space="preserve">Difference in
FY09-10 
MFP Funded 
Amount
and October 1, 2009 SIS
</t>
    </r>
    <r>
      <rPr>
        <sz val="8"/>
        <color indexed="10"/>
        <rFont val="Arial"/>
        <family val="2"/>
      </rPr>
      <t>(Internal Use Only)</t>
    </r>
  </si>
  <si>
    <r>
      <t xml:space="preserve">FY09-10 
MFP Funded 
Amount
</t>
    </r>
    <r>
      <rPr>
        <sz val="8"/>
        <color indexed="10"/>
        <rFont val="Arial"/>
        <family val="2"/>
      </rPr>
      <t>(Internal Use Only)
(Oct or Feb count)</t>
    </r>
  </si>
  <si>
    <t>Madison Prep Academy (CSAL)</t>
  </si>
  <si>
    <t>D'Arbonne Woods Charter</t>
  </si>
  <si>
    <t>Total Type 2 Charters</t>
  </si>
  <si>
    <t>Total Statewide</t>
  </si>
  <si>
    <t>December Mid-Year Adjustment 
(See Column 13 of Dec. 
Mid-year Adjustment)</t>
  </si>
  <si>
    <t>Total 
FY2009-10 MFP 
Allocation 
plus
Continuation 
of Pay Raises
plus 
Mid-Year Adjustment</t>
  </si>
  <si>
    <t>Total OPSB + RSD</t>
  </si>
  <si>
    <t>Initial Funded</t>
  </si>
  <si>
    <t>= February 2, 2009 SIS Count (RSD Operated)</t>
  </si>
  <si>
    <t>= Initial Projection (PRIDE)</t>
  </si>
  <si>
    <t>= Initial Projection (ARISE)</t>
  </si>
  <si>
    <t>= Initial Projection (SUCCESS)</t>
  </si>
  <si>
    <t>= Initial Projection (Benjamin E. Mays)</t>
  </si>
  <si>
    <t>= Initial Funded Count (RSD Operated)</t>
  </si>
  <si>
    <t>= December Funded Count (RSD Operated)</t>
  </si>
  <si>
    <t>December Funded Count</t>
  </si>
  <si>
    <t>= October 1, 2009 SIS Count (PRIDE)</t>
  </si>
  <si>
    <t>= October 1, 2009 SIS Count (ARISE)</t>
  </si>
  <si>
    <t>= October 1, 2009 SIS Count (SUCCESS)</t>
  </si>
  <si>
    <t>= October 1, 2009 SIS Count (Benjamin E. Mays)</t>
  </si>
  <si>
    <t>= October 1, 2009 SIS Count (RSD Operated)</t>
  </si>
  <si>
    <t>= February 2, 2009 SIS Count (ARISE)(Dr. Charles Richard Drew Elementary School)</t>
  </si>
  <si>
    <t>= February 2, 2009 SIS Count (SUCCESS)(Albert Wicker Literacy Academy)</t>
  </si>
  <si>
    <t>= February 2, 2009 SIS Count (Benjamin E. Mays)(Carver Elementary School)</t>
  </si>
  <si>
    <t>= February 2, 2009 SIS Count (PRIDE)(F.W. Gregory Elementary School)</t>
  </si>
  <si>
    <t>= February 2, 2009 SIS Count  (SUCCESS)</t>
  </si>
  <si>
    <t>Note: Since new charters are transformation schools from the RSD-Operated, the student count for these school are subtracted from RSD-Operated Membership.</t>
  </si>
  <si>
    <t>RSD Operated Funded Count Explanation</t>
  </si>
  <si>
    <t>Reserve Amount for Closure  of N.O. Free</t>
  </si>
  <si>
    <t>Total OPSB + RSD+ Reserve Amount</t>
  </si>
  <si>
    <t>Note: Can only subtract up the February 2 student count from RSD Operated for Transformation Schools. (Could only subtract the Feb count of SUCCESS from the RSD Operated since the October count was higher that February count.)</t>
  </si>
  <si>
    <t>FY2009-10 MFP 
Allocation 
plus
Continuation 
of Pay Raises
plus 
Mid-Year Adjustment
minus
Stabilization Funds</t>
  </si>
  <si>
    <r>
      <t xml:space="preserve">December 
</t>
    </r>
    <r>
      <rPr>
        <b/>
        <sz val="10"/>
        <color indexed="10"/>
        <rFont val="Arial"/>
        <family val="2"/>
      </rPr>
      <t>STATE</t>
    </r>
    <r>
      <rPr>
        <b/>
        <sz val="10"/>
        <color indexed="18"/>
        <rFont val="Arial"/>
        <family val="2"/>
      </rPr>
      <t xml:space="preserve">
Mid-Year
Adjustment</t>
    </r>
  </si>
  <si>
    <t>Total
FY2009-10
MFP 
Allocation 
plus
Continuation 
of Pay Raises
plus
Mid-Year
Adjustments</t>
  </si>
  <si>
    <t>FY2009-10
Stabilzation Funds (SFSF)</t>
  </si>
  <si>
    <t>FY2009-10
MFP 
Allocation 
plus
Continuation 
of Pay Raises
plus
Mid-Year
Adjustments
minus
SFSF Funds</t>
  </si>
  <si>
    <t>MFP 
Allocation 
plus
Continuation 
of Pay Raises
plus
Mid-Year
Adjustments
minus
SFSF Funds
+/- 
Audit Adjustments</t>
  </si>
  <si>
    <r>
      <t xml:space="preserve">December Mid-Year Adjustment 
</t>
    </r>
    <r>
      <rPr>
        <sz val="10"/>
        <color indexed="18"/>
        <rFont val="Arial"/>
        <family val="2"/>
      </rPr>
      <t>(See Column 13 
of Dec. Mid-year 
Adjustment)</t>
    </r>
  </si>
  <si>
    <t>1.a</t>
  </si>
  <si>
    <t>1.b</t>
  </si>
  <si>
    <t>1.c</t>
  </si>
  <si>
    <t>2.a</t>
  </si>
  <si>
    <t>2.b</t>
  </si>
  <si>
    <t>2.c</t>
  </si>
  <si>
    <t>New Orleans Free (CLOSED)</t>
  </si>
  <si>
    <t>Total State Allocation less SFSF Funds</t>
  </si>
  <si>
    <t>FY2009-10
Total MFP
Distribution 
minus SFSF Funds plus
December 
Mid-Year 
Adjustments</t>
  </si>
  <si>
    <t>Total State MFP Appropriation*</t>
  </si>
  <si>
    <t>October Mid-Year - Student Growth - 69 School Districts</t>
  </si>
  <si>
    <t>October Mid-Year - Student Growth - Lab Schools</t>
  </si>
  <si>
    <t>October Mid-Year - Student Growth - RSD</t>
  </si>
  <si>
    <t>Total 
State 
Allocation 
minus
 Admin.
Fee</t>
  </si>
  <si>
    <r>
      <t xml:space="preserve">Total
</t>
    </r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Allocation
minus 
Admin.
Fee</t>
    </r>
  </si>
  <si>
    <t>Change in Enrollment 
October 1, 2009 to 
February 1, 2010</t>
  </si>
  <si>
    <t>Balance 
to be Paid
March 2010
through
June 2010</t>
  </si>
  <si>
    <r>
      <t xml:space="preserve">March
Mid-Year
Adjustments
</t>
    </r>
    <r>
      <rPr>
        <sz val="9"/>
        <color indexed="10"/>
        <rFont val="Arial"/>
        <family val="2"/>
      </rPr>
      <t>(based on 2.1.10 
SIS data)</t>
    </r>
  </si>
  <si>
    <r>
      <t xml:space="preserve">December 
Mid-Year
Adjustments
</t>
    </r>
    <r>
      <rPr>
        <sz val="9"/>
        <color indexed="10"/>
        <rFont val="Arial"/>
        <family val="2"/>
      </rPr>
      <t>(based on 10.1.09 
SIS data)</t>
    </r>
  </si>
  <si>
    <r>
      <t xml:space="preserve">March
</t>
    </r>
    <r>
      <rPr>
        <b/>
        <sz val="10"/>
        <color indexed="10"/>
        <rFont val="Arial"/>
        <family val="2"/>
      </rPr>
      <t>STATE</t>
    </r>
    <r>
      <rPr>
        <b/>
        <sz val="10"/>
        <color indexed="18"/>
        <rFont val="Arial"/>
        <family val="2"/>
      </rPr>
      <t xml:space="preserve">
Mid-Year
Adjustment</t>
    </r>
  </si>
  <si>
    <t>Oct 1 2009 MFP 
Funded Membership</t>
  </si>
  <si>
    <t xml:space="preserve">Base 
Allocation 
+
Continuation of Pay Raises
</t>
  </si>
  <si>
    <r>
      <t xml:space="preserve">March 
</t>
    </r>
    <r>
      <rPr>
        <b/>
        <sz val="10"/>
        <color indexed="10"/>
        <rFont val="Arial"/>
        <family val="2"/>
      </rPr>
      <t>State</t>
    </r>
    <r>
      <rPr>
        <b/>
        <sz val="10"/>
        <color indexed="18"/>
        <rFont val="Arial"/>
        <family val="2"/>
      </rPr>
      <t xml:space="preserve">
Mid-Year
Adjustment</t>
    </r>
  </si>
  <si>
    <r>
      <rPr>
        <b/>
        <sz val="10"/>
        <color indexed="10"/>
        <rFont val="Arial"/>
        <family val="2"/>
      </rPr>
      <t>STATE</t>
    </r>
    <r>
      <rPr>
        <b/>
        <sz val="10"/>
        <color indexed="18"/>
        <rFont val="Arial"/>
        <family val="2"/>
      </rPr>
      <t xml:space="preserve">
Y-T-D
Payments
July '09
through
Feb. '10</t>
    </r>
  </si>
  <si>
    <t>Balance Due
March '10 through
June '10</t>
  </si>
  <si>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Y-T-D
Payments
July '09
through
Feb. '10</t>
    </r>
  </si>
  <si>
    <r>
      <t xml:space="preserve">March 
</t>
    </r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</si>
  <si>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Change in Funded Membership
</t>
    </r>
    <r>
      <rPr>
        <b/>
        <sz val="9"/>
        <color indexed="10"/>
        <rFont val="Arial"/>
        <family val="2"/>
      </rPr>
      <t>(between 10.1.09 &amp; 2.1.10)</t>
    </r>
  </si>
  <si>
    <t>Y-T-D
Payments
July '09
through
Feb. '10</t>
  </si>
  <si>
    <r>
      <t xml:space="preserve">March Mid-Year Adjustment 
</t>
    </r>
    <r>
      <rPr>
        <sz val="10"/>
        <color indexed="18"/>
        <rFont val="Arial"/>
        <family val="2"/>
      </rPr>
      <t>(See Column 10 
of March Mid-year 
Adjustment)</t>
    </r>
  </si>
  <si>
    <t>Total MFP
Allocation 
+
Continuation 
of Pay Raises
+
Mid-Year
Adjustments</t>
  </si>
  <si>
    <t>Total MFP
Allocation 
+
Continuation 
of Pay Raises
+
Mid-Year
Adjustments
-
SFSF Funds</t>
  </si>
  <si>
    <t>Total MFP
Allocation 
+
Continuation 
of Pay Raises
+
Mid-Year
Adjustments
-
SFSF Funds
+/-
Audit Adjustments</t>
  </si>
  <si>
    <t>Table 5A: FY2009-2010 MFP Allocation for Lab Schools  (March 2010)</t>
  </si>
  <si>
    <r>
      <t xml:space="preserve">March 
</t>
    </r>
    <r>
      <rPr>
        <b/>
        <sz val="10"/>
        <color indexed="10"/>
        <rFont val="Arial"/>
        <family val="2"/>
      </rPr>
      <t>State</t>
    </r>
    <r>
      <rPr>
        <b/>
        <sz val="10"/>
        <color indexed="18"/>
        <rFont val="Arial"/>
        <family val="2"/>
      </rPr>
      <t xml:space="preserve">
Mid-Year
Adjustment</t>
    </r>
  </si>
  <si>
    <r>
      <rPr>
        <b/>
        <sz val="10"/>
        <color indexed="10"/>
        <rFont val="Arial"/>
        <family val="2"/>
      </rPr>
      <t>STATE</t>
    </r>
    <r>
      <rPr>
        <b/>
        <sz val="10"/>
        <color indexed="18"/>
        <rFont val="Arial"/>
        <family val="2"/>
      </rPr>
      <t xml:space="preserve">
Y-T-D
Payments
July '09
through
Feb. '10</t>
    </r>
  </si>
  <si>
    <r>
      <t xml:space="preserve">
</t>
    </r>
    <r>
      <rPr>
        <sz val="12"/>
        <rFont val="Futura Lt BT"/>
        <family val="2"/>
      </rPr>
      <t>Zachary Community School System</t>
    </r>
  </si>
  <si>
    <r>
      <t xml:space="preserve">
</t>
    </r>
    <r>
      <rPr>
        <sz val="12"/>
        <rFont val="Futura Lt BT"/>
        <family val="2"/>
      </rPr>
      <t>City of Baker School System</t>
    </r>
  </si>
  <si>
    <r>
      <t xml:space="preserve">
</t>
    </r>
    <r>
      <rPr>
        <sz val="12"/>
        <rFont val="Futura Lt BT"/>
        <family val="2"/>
      </rPr>
      <t>Central Community School System</t>
    </r>
  </si>
  <si>
    <t>Total Madison Prep Academy 
(Community Schools for Apprenticeship Learning)</t>
  </si>
  <si>
    <t>TOTAL Madison Prep Academy  +
LA Dept. of Education</t>
  </si>
  <si>
    <r>
      <t xml:space="preserve">March 
</t>
    </r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Mid-Year
Adjustment</t>
    </r>
  </si>
  <si>
    <t>Total
Local
Allocation
Plus
Mid-Year Adjustment</t>
  </si>
  <si>
    <r>
      <t xml:space="preserve">Total
</t>
    </r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Allocation
minus 
Admin.
Fee</t>
    </r>
  </si>
  <si>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Y-T-D
Payments
July '09
through
Feb. '10</t>
    </r>
  </si>
  <si>
    <t xml:space="preserve">
Zachary Community School System</t>
  </si>
  <si>
    <t xml:space="preserve">
City of Baker School System</t>
  </si>
  <si>
    <t xml:space="preserve">
Central Community School System</t>
  </si>
  <si>
    <t xml:space="preserve">
East Baton Rouge Parish School Board</t>
  </si>
  <si>
    <t>Total
Local
Allocation
Plus
Mid-Year Adjustment
Less
Reduction per Court Order</t>
  </si>
  <si>
    <t>Reduction in Local Allocation per Court Order</t>
  </si>
  <si>
    <t>Oct. 1, 2009 
MFP Funded 
Membership</t>
  </si>
  <si>
    <t>KIPP New Orleans, Inc. (Kipp Central City Primary)</t>
  </si>
  <si>
    <r>
      <t xml:space="preserve">Number of 
Additional 
Students
</t>
    </r>
    <r>
      <rPr>
        <sz val="8"/>
        <color indexed="10"/>
        <rFont val="Arial"/>
        <family val="2"/>
      </rPr>
      <t>(Change in
Enrollment 
10.1.09 to
 2.1.10; 
Must be 
greater than 
1% or 
50 students)</t>
    </r>
  </si>
  <si>
    <t>Oct. 1, 2009
MFP 
Membership
(Actual 
SIS Data)</t>
  </si>
  <si>
    <t>Feb. 1, 2010
MFP 
Membership
(Actual 
SIS Data)</t>
  </si>
  <si>
    <t xml:space="preserve">Benjamin E. Mays Schools </t>
  </si>
  <si>
    <t xml:space="preserve">Success Preparatory Academy </t>
  </si>
  <si>
    <t xml:space="preserve">Pride College Prep Academy </t>
  </si>
  <si>
    <t>Advocates for Science &amp; Math (N. O. Charter Science)</t>
  </si>
  <si>
    <t>N.O. College Prep Academies (N. O. College Prep)</t>
  </si>
  <si>
    <t>Algiers Charter School Assoc. (ACSA Tech High)</t>
  </si>
  <si>
    <t>Inst.of Academic Excellence, SUNO  (Sophie B. Wright)</t>
  </si>
  <si>
    <t>New Beginnings, UNO (Capdau w/out Early College H.S.)</t>
  </si>
  <si>
    <t>Esperanza Charter School Assoc (Esperanza)</t>
  </si>
  <si>
    <t>Col. 2 minus
Col. 1</t>
  </si>
  <si>
    <r>
      <t xml:space="preserve">Col. 3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
Col. 1</t>
    </r>
  </si>
  <si>
    <t>Per
Budget
Letter</t>
  </si>
  <si>
    <t>Col. 6 + 
Col. 7 +
Col. 8</t>
  </si>
  <si>
    <t>One-Half of
Col. 9</t>
  </si>
  <si>
    <t>Col. 10  X 
Col. 5</t>
  </si>
  <si>
    <t xml:space="preserve">Per Pupil
Amount 
FY07-08 
Pay 
Raise 
Contin-
uation </t>
  </si>
  <si>
    <t xml:space="preserve">Per Pupil
Amount FY08-09
Pay 
Raise 
Contin-
uation </t>
  </si>
  <si>
    <t xml:space="preserve">4.  </t>
  </si>
  <si>
    <t>3.a</t>
  </si>
  <si>
    <t>3.b</t>
  </si>
  <si>
    <t>3.c</t>
  </si>
  <si>
    <t>February Mid-Year - Student Growth - 69 School Districts</t>
  </si>
  <si>
    <t>February Mid-Year - Student Growth - Lab Schools</t>
  </si>
  <si>
    <t>February Mid-Year - Student Growth - RSD</t>
  </si>
  <si>
    <t>3.d</t>
  </si>
  <si>
    <t>February Mid-Year - Student Growth - Type 2 Charters</t>
  </si>
  <si>
    <t>March Mid-Year Adjustment 
(See 
Column 11
 of March
Mid-year Adjustment)</t>
  </si>
  <si>
    <t>D'Arbonne Woods</t>
  </si>
  <si>
    <t>Madison Prep (CSAL)</t>
  </si>
  <si>
    <r>
      <t xml:space="preserve">Total
</t>
    </r>
    <r>
      <rPr>
        <b/>
        <sz val="10"/>
        <color indexed="10"/>
        <rFont val="Arial"/>
        <family val="2"/>
      </rPr>
      <t>Local</t>
    </r>
    <r>
      <rPr>
        <b/>
        <sz val="10"/>
        <color indexed="18"/>
        <rFont val="Arial"/>
        <family val="2"/>
      </rPr>
      <t xml:space="preserve">
Allocation
minus 
Admin.
Fee
+ March
Mid-Year
Adjustment</t>
    </r>
  </si>
  <si>
    <t>Total 
State 
Allocation 
minus
 Admin.
Fee
+ March Mid-Year
Adjustment</t>
  </si>
  <si>
    <t>Total 
D'Arbonne Woods Charter</t>
  </si>
  <si>
    <t>TOTAL 
D'Arbonne Woods Charter +
LA Dept. of Education</t>
  </si>
  <si>
    <t>LA Dept. of Education Admin. Fee from D'Arbonne Woods Charter</t>
  </si>
  <si>
    <t>Total 
State Allocation less SFSF Funds</t>
  </si>
  <si>
    <t>Balance 
Due
March '10 
through
June '10</t>
  </si>
  <si>
    <t>March Mid-Year Adjustment
(Based on February 1, 2010 Count)</t>
  </si>
  <si>
    <t>Number
of
Additional
Students
on
Feb 1, 2010</t>
  </si>
  <si>
    <t>One-third
the
State 
Per Pupil
Amount</t>
  </si>
  <si>
    <t>One-third
the
Local 
Per Pupil
Amount</t>
  </si>
  <si>
    <t>FY2009-10
Final
Local 
Per Pupil 
(per Calculation)</t>
  </si>
  <si>
    <r>
      <t xml:space="preserve">April - June
Total MFP
Transfer
</t>
    </r>
    <r>
      <rPr>
        <sz val="10"/>
        <color indexed="18"/>
        <rFont val="Arial"/>
        <family val="2"/>
      </rPr>
      <t>Amount</t>
    </r>
    <r>
      <rPr>
        <b/>
        <sz val="10"/>
        <color indexed="18"/>
        <rFont val="Arial"/>
        <family val="2"/>
      </rPr>
      <t xml:space="preserve">
</t>
    </r>
    <r>
      <rPr>
        <b/>
        <sz val="10"/>
        <color indexed="16"/>
        <rFont val="Arial"/>
        <family val="2"/>
      </rPr>
      <t>minus</t>
    </r>
    <r>
      <rPr>
        <b/>
        <sz val="10"/>
        <color indexed="18"/>
        <rFont val="Arial"/>
        <family val="2"/>
      </rPr>
      <t xml:space="preserve">
Transfers 
to RSD
and Type 2 Charters</t>
    </r>
  </si>
  <si>
    <t>March 
ONLY
Transfer
Amount</t>
  </si>
  <si>
    <t>Total Type 2 Charters*</t>
  </si>
  <si>
    <t>One-Half*
the
Per-Pupil
Amount
Per
FY09-10
Budget
Letter</t>
  </si>
  <si>
    <t>* The February 1 mid-year adjustment for Type 2 Charters recognizes increases and decreases in students greater than 5%; the adjustment is based on one-third the per pupil amount</t>
  </si>
  <si>
    <t>FY2009-10
Budget Letter
March 2010
Circular No. 1124</t>
  </si>
  <si>
    <t>FY2008-09
Budget Letter
March 2009*
Circular No. 1110</t>
  </si>
  <si>
    <r>
      <t xml:space="preserve">Minus
</t>
    </r>
    <r>
      <rPr>
        <b/>
        <sz val="10"/>
        <color indexed="10"/>
        <rFont val="Arial"/>
        <family val="2"/>
      </rPr>
      <t xml:space="preserve">State </t>
    </r>
    <r>
      <rPr>
        <b/>
        <sz val="10"/>
        <color indexed="18"/>
        <rFont val="Arial"/>
        <family val="2"/>
      </rPr>
      <t xml:space="preserve">Share
Adjustment
 for Recovery 
School District
</t>
    </r>
    <r>
      <rPr>
        <sz val="10"/>
        <color indexed="18"/>
        <rFont val="Arial"/>
        <family val="2"/>
      </rPr>
      <t>(Includes 
Dec. &amp; March
Mid-year Adjustments)</t>
    </r>
  </si>
  <si>
    <r>
      <t xml:space="preserve">Transfer 
to pay
the local
share 
due to
D'Arbonne
Woods
</t>
    </r>
    <r>
      <rPr>
        <sz val="10"/>
        <color indexed="18"/>
        <rFont val="Arial"/>
        <family val="2"/>
      </rPr>
      <t>(Table 5C-2,
column 31)</t>
    </r>
  </si>
  <si>
    <r>
      <t xml:space="preserve">Monthly
Amount
of .25% 
Admin
Fee for
D'Arbonne
Woods
</t>
    </r>
    <r>
      <rPr>
        <sz val="10"/>
        <color indexed="18"/>
        <rFont val="Arial"/>
        <family val="2"/>
      </rPr>
      <t>(Table 5C-2,
column 24)</t>
    </r>
  </si>
  <si>
    <r>
      <t>Transfer
to pay the
 local share 
due to
RSD 
Orleans
(</t>
    </r>
    <r>
      <rPr>
        <sz val="10"/>
        <color indexed="18"/>
        <rFont val="Arial"/>
        <family val="2"/>
      </rPr>
      <t>RSD Orleans Allocation,
column 52)</t>
    </r>
  </si>
  <si>
    <r>
      <t xml:space="preserve">Transfer 
to pay the
 local share 
due to
Madison 
Prep
(CSAL)
</t>
    </r>
    <r>
      <rPr>
        <sz val="10"/>
        <color indexed="18"/>
        <rFont val="Arial"/>
        <family val="2"/>
      </rPr>
      <t>(Table 5C-1,
column 27)</t>
    </r>
  </si>
  <si>
    <r>
      <t xml:space="preserve">Transfer
to pay
the local
share 
due to
RSD LA
</t>
    </r>
    <r>
      <rPr>
        <sz val="10"/>
        <color indexed="18"/>
        <rFont val="Arial"/>
        <family val="2"/>
      </rPr>
      <t>(RSD LA 
Allocation
column 47)</t>
    </r>
  </si>
  <si>
    <t>Monthly
Payments
to be Paid
March 2010
through
June 2010</t>
  </si>
  <si>
    <r>
      <t xml:space="preserve">May
ONLY:
Admin Fee
Payable 
to DOE
(.25%)
Madison 
Prep
</t>
    </r>
    <r>
      <rPr>
        <sz val="10"/>
        <color indexed="18"/>
        <rFont val="Arial"/>
        <family val="2"/>
      </rPr>
      <t>(Table 5C-1,
column 23,
Balance due)</t>
    </r>
  </si>
  <si>
    <r>
      <t xml:space="preserve">Monthly
Payments
to be Paid
May 2010
through
June 2011
</t>
    </r>
    <r>
      <rPr>
        <sz val="10"/>
        <color indexed="18"/>
        <rFont val="Arial"/>
        <family val="2"/>
      </rPr>
      <t xml:space="preserve">
(Table 2, col. 16)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</si>
</sst>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.0000000"/>
    <numFmt numFmtId="168" formatCode="0.0%"/>
    <numFmt numFmtId="169" formatCode="_(* #,##0.000000_);_(* \(#,##0.000000\);_(* &quot;-&quot;??_);_(@_)"/>
    <numFmt numFmtId="170" formatCode="&quot;$&quot;#,##0;[Red]&quot;$&quot;#,##0"/>
    <numFmt numFmtId="171" formatCode="0.000%"/>
    <numFmt numFmtId="172" formatCode="&quot;$&quot;#,##0.00"/>
    <numFmt numFmtId="173" formatCode="&quot;$&quot;#,##0.0_);[Red]\(&quot;$&quot;#,##0.0\)"/>
    <numFmt numFmtId="174" formatCode="_(* #,##0.000_);_(* \(#,##0.000\);_(* &quot;-&quot;??_);_(@_)"/>
    <numFmt numFmtId="175" formatCode="0.0"/>
    <numFmt numFmtId="176" formatCode="&quot;$&quot;#,##0.0"/>
    <numFmt numFmtId="177" formatCode="0.000"/>
    <numFmt numFmtId="178" formatCode="0.0000"/>
    <numFmt numFmtId="179" formatCode="m/d/yy"/>
    <numFmt numFmtId="180" formatCode="0_);[Red]\(0\)"/>
    <numFmt numFmtId="181" formatCode="_(&quot;$&quot;* #,##0_);_(&quot;$&quot;* \(#,##0\);_(&quot;$&quot;* &quot;-&quot;??_);_(@_)"/>
    <numFmt numFmtId="182" formatCode="#,##0.0"/>
    <numFmt numFmtId="183" formatCode="_(&quot;$&quot;* #,##0.000_);_(&quot;$&quot;* \(#,##0.000\);_(&quot;$&quot;* &quot;-&quot;??_);_(@_)"/>
    <numFmt numFmtId="184" formatCode="_(&quot;$&quot;* #,##0.0_);_(&quot;$&quot;* \(#,##0.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0"/>
    <numFmt numFmtId="190" formatCode="mm/dd/yy;@"/>
    <numFmt numFmtId="191" formatCode="#,##0.00000000000_);[Red]\(#,##0.00000000000\)"/>
    <numFmt numFmtId="192" formatCode="&quot;$&quot;#,##0.0_);\(&quot;$&quot;#,##0.0\)"/>
    <numFmt numFmtId="193" formatCode="_(* #,##0.0000_);_(* \(#,##0.0000\);_(* &quot;-&quot;??_);_(@_)"/>
    <numFmt numFmtId="194" formatCode="&quot;$&quot;#,##0.00;[Red]&quot;$&quot;#,##0.00"/>
    <numFmt numFmtId="195" formatCode="0.0000%"/>
    <numFmt numFmtId="196" formatCode="&quot;$&quot;#,##0.000_);\(&quot;$&quot;#,##0.000\)"/>
    <numFmt numFmtId="197" formatCode="&quot;$&quot;#,##0.0;[Red]&quot;$&quot;#,##0.0"/>
    <numFmt numFmtId="198" formatCode="&quot;$&quot;#,##0.000;[Red]&quot;$&quot;#,##0.000"/>
    <numFmt numFmtId="199" formatCode="&quot;$&quot;#,##0.0000;[Red]&quot;$&quot;#,##0.0000"/>
    <numFmt numFmtId="200" formatCode="mmmm\ d\,\ yyyy"/>
    <numFmt numFmtId="201" formatCode="&quot;$&quot;#,##0.000_);[Red]\(&quot;$&quot;#,##0.000\)"/>
    <numFmt numFmtId="202" formatCode="&quot;$&quot;#,##0.0000_);[Red]\(&quot;$&quot;#,##0.0000\)"/>
    <numFmt numFmtId="203" formatCode="#,##0.0_);[Red]\(#,##0.0\)"/>
    <numFmt numFmtId="204" formatCode="mmmm\-yy"/>
    <numFmt numFmtId="205" formatCode="[$-409]dddd\,\ mmmm\ dd\,\ yyyy"/>
    <numFmt numFmtId="206" formatCode="m/d/yy;@"/>
    <numFmt numFmtId="207" formatCode="[$-409]h:mm:ss\ AM/PM"/>
    <numFmt numFmtId="208" formatCode="#,##0.000"/>
  </numFmts>
  <fonts count="112">
    <font>
      <sz val="10"/>
      <name val="Arial"/>
      <family val="0"/>
    </font>
    <font>
      <b/>
      <sz val="16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color indexed="20"/>
      <name val="Arial Narrow"/>
      <family val="2"/>
    </font>
    <font>
      <b/>
      <sz val="12"/>
      <color indexed="62"/>
      <name val="Arial Narrow"/>
      <family val="2"/>
    </font>
    <font>
      <sz val="12"/>
      <color indexed="62"/>
      <name val="Arial Narrow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i/>
      <sz val="10"/>
      <color indexed="18"/>
      <name val="Arial Narrow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6"/>
      <color indexed="20"/>
      <name val="Arial Narrow"/>
      <family val="2"/>
    </font>
    <font>
      <sz val="10"/>
      <color indexed="20"/>
      <name val="Arial Narrow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b/>
      <i/>
      <sz val="21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color indexed="18"/>
      <name val="Arial Narrow"/>
      <family val="2"/>
    </font>
    <font>
      <b/>
      <sz val="16"/>
      <color indexed="10"/>
      <name val="Arial"/>
      <family val="2"/>
    </font>
    <font>
      <b/>
      <sz val="10"/>
      <name val="Arial Narrow"/>
      <family val="2"/>
    </font>
    <font>
      <b/>
      <sz val="10"/>
      <color indexed="62"/>
      <name val="Arial"/>
      <family val="2"/>
    </font>
    <font>
      <sz val="10"/>
      <color indexed="62"/>
      <name val="Arial Narrow"/>
      <family val="2"/>
    </font>
    <font>
      <b/>
      <sz val="10"/>
      <color indexed="52"/>
      <name val="Arial"/>
      <family val="2"/>
    </font>
    <font>
      <b/>
      <sz val="24"/>
      <name val="Arial Narrow"/>
      <family val="2"/>
    </font>
    <font>
      <sz val="10"/>
      <name val="CG Times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20"/>
      <name val="Arial Narrow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22"/>
      <name val="Arial Narrow"/>
      <family val="2"/>
    </font>
    <font>
      <b/>
      <sz val="10"/>
      <color indexed="17"/>
      <name val="Arial"/>
      <family val="2"/>
    </font>
    <font>
      <b/>
      <sz val="10.5"/>
      <name val="Futura Lt BT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14"/>
      <name val="Futura Lt BT"/>
      <family val="2"/>
    </font>
    <font>
      <b/>
      <sz val="14"/>
      <name val="Arial"/>
      <family val="2"/>
    </font>
    <font>
      <b/>
      <sz val="12"/>
      <color indexed="22"/>
      <name val="Arial"/>
      <family val="2"/>
    </font>
    <font>
      <sz val="12"/>
      <name val="Futura Lt BT"/>
      <family val="2"/>
    </font>
    <font>
      <b/>
      <sz val="9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11"/>
      <name val="Futura Lt BT"/>
      <family val="2"/>
    </font>
    <font>
      <sz val="10"/>
      <name val="Futura Lt BT"/>
      <family val="2"/>
    </font>
    <font>
      <b/>
      <sz val="11"/>
      <color indexed="18"/>
      <name val="Arial"/>
      <family val="2"/>
    </font>
    <font>
      <b/>
      <sz val="12"/>
      <name val="Futura Lt BT"/>
      <family val="2"/>
    </font>
    <font>
      <b/>
      <sz val="9"/>
      <name val="Futura Lt BT"/>
      <family val="2"/>
    </font>
    <font>
      <b/>
      <sz val="10"/>
      <name val="Futura Lt BT"/>
      <family val="2"/>
    </font>
    <font>
      <sz val="8"/>
      <color indexed="2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20"/>
      <name val="Calibri"/>
      <family val="2"/>
    </font>
    <font>
      <b/>
      <sz val="10"/>
      <color indexed="16"/>
      <name val="Arial"/>
      <family val="2"/>
    </font>
    <font>
      <b/>
      <sz val="12"/>
      <color indexed="14"/>
      <name val="Futura Lt BT"/>
      <family val="2"/>
    </font>
    <font>
      <b/>
      <sz val="10"/>
      <color indexed="5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rgb="FFFF0000"/>
      <name val="Arial"/>
      <family val="2"/>
    </font>
    <font>
      <b/>
      <sz val="12"/>
      <color rgb="FFCC0066"/>
      <name val="Futura Lt BT"/>
      <family val="2"/>
    </font>
    <font>
      <b/>
      <sz val="10"/>
      <color rgb="FF002060"/>
      <name val="Arial"/>
      <family val="2"/>
    </font>
    <font>
      <sz val="20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thin"/>
      <top style="thin"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63"/>
      </top>
      <bottom style="double"/>
    </border>
    <border>
      <left style="thin"/>
      <right>
        <color indexed="63"/>
      </right>
      <top style="thin">
        <color indexed="63"/>
      </top>
      <bottom style="double"/>
    </border>
    <border>
      <left style="thin"/>
      <right style="thin">
        <color indexed="63"/>
      </right>
      <top>
        <color indexed="63"/>
      </top>
      <bottom style="double"/>
    </border>
    <border>
      <left style="thin">
        <color indexed="63"/>
      </left>
      <right style="thin">
        <color indexed="63"/>
      </right>
      <top>
        <color indexed="63"/>
      </top>
      <bottom style="double"/>
    </border>
    <border>
      <left style="thin">
        <color indexed="63"/>
      </left>
      <right>
        <color indexed="63"/>
      </right>
      <top>
        <color indexed="63"/>
      </top>
      <bottom style="double"/>
    </border>
    <border>
      <left style="thin"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22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/>
      <bottom style="double">
        <color indexed="63"/>
      </bottom>
    </border>
    <border>
      <left style="thin">
        <color indexed="63"/>
      </left>
      <right>
        <color indexed="63"/>
      </right>
      <top style="thin"/>
      <bottom style="double">
        <color indexed="63"/>
      </bottom>
    </border>
    <border>
      <left style="thin"/>
      <right style="thin"/>
      <top style="thin"/>
      <bottom style="double">
        <color indexed="63"/>
      </bottom>
    </border>
    <border>
      <left style="thin">
        <color indexed="63"/>
      </left>
      <right style="thin">
        <color indexed="63"/>
      </right>
      <top style="thin"/>
      <bottom style="double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3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7" borderId="1" applyNumberFormat="0" applyAlignment="0" applyProtection="0"/>
    <xf numFmtId="0" fontId="82" fillId="0" borderId="6" applyNumberFormat="0" applyFill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23" borderId="7" applyNumberFormat="0" applyFont="0" applyAlignment="0" applyProtection="0"/>
    <xf numFmtId="0" fontId="84" fillId="20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5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" fontId="0" fillId="0" borderId="10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3" fontId="0" fillId="0" borderId="12" xfId="42" applyNumberFormat="1" applyFont="1" applyBorder="1" applyAlignment="1">
      <alignment/>
    </xf>
    <xf numFmtId="10" fontId="0" fillId="0" borderId="12" xfId="62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5" fontId="0" fillId="0" borderId="0" xfId="0" applyNumberFormat="1" applyFont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5" fontId="6" fillId="0" borderId="23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37" fontId="6" fillId="0" borderId="26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7" fontId="2" fillId="0" borderId="0" xfId="45" applyNumberFormat="1" applyFont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>
      <alignment horizontal="left"/>
    </xf>
    <xf numFmtId="5" fontId="13" fillId="0" borderId="28" xfId="0" applyNumberFormat="1" applyFont="1" applyFill="1" applyBorder="1" applyAlignment="1" applyProtection="1">
      <alignment/>
      <protection/>
    </xf>
    <xf numFmtId="0" fontId="17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6" fontId="21" fillId="0" borderId="13" xfId="0" applyNumberFormat="1" applyFont="1" applyBorder="1" applyAlignment="1">
      <alignment/>
    </xf>
    <xf numFmtId="8" fontId="21" fillId="0" borderId="13" xfId="0" applyNumberFormat="1" applyFont="1" applyBorder="1" applyAlignment="1">
      <alignment/>
    </xf>
    <xf numFmtId="6" fontId="0" fillId="0" borderId="10" xfId="0" applyNumberFormat="1" applyFont="1" applyFill="1" applyBorder="1" applyAlignment="1" applyProtection="1">
      <alignment/>
      <protection/>
    </xf>
    <xf numFmtId="0" fontId="21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2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6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37" fontId="6" fillId="0" borderId="34" xfId="0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7" fontId="6" fillId="0" borderId="37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5" fontId="6" fillId="0" borderId="37" xfId="0" applyNumberFormat="1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5" fontId="6" fillId="0" borderId="39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3" fillId="0" borderId="30" xfId="0" applyFont="1" applyFill="1" applyBorder="1" applyAlignment="1">
      <alignment horizontal="left"/>
    </xf>
    <xf numFmtId="6" fontId="0" fillId="0" borderId="14" xfId="0" applyNumberFormat="1" applyBorder="1" applyAlignment="1">
      <alignment/>
    </xf>
    <xf numFmtId="5" fontId="0" fillId="0" borderId="0" xfId="0" applyNumberFormat="1" applyAlignment="1">
      <alignment/>
    </xf>
    <xf numFmtId="10" fontId="2" fillId="0" borderId="0" xfId="62" applyNumberFormat="1" applyFont="1" applyAlignment="1">
      <alignment/>
    </xf>
    <xf numFmtId="164" fontId="0" fillId="0" borderId="0" xfId="42" applyNumberFormat="1" applyFont="1" applyAlignment="1">
      <alignment/>
    </xf>
    <xf numFmtId="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3" borderId="31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12" xfId="62" applyNumberFormat="1" applyFont="1" applyBorder="1" applyAlignment="1">
      <alignment/>
    </xf>
    <xf numFmtId="171" fontId="0" fillId="0" borderId="14" xfId="62" applyNumberFormat="1" applyFont="1" applyBorder="1" applyAlignment="1">
      <alignment/>
    </xf>
    <xf numFmtId="5" fontId="0" fillId="0" borderId="40" xfId="0" applyNumberFormat="1" applyFont="1" applyFill="1" applyBorder="1" applyAlignment="1" applyProtection="1">
      <alignment/>
      <protection/>
    </xf>
    <xf numFmtId="0" fontId="21" fillId="4" borderId="1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5" fontId="0" fillId="3" borderId="44" xfId="42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Alignment="1" quotePrefix="1">
      <alignment horizontal="center" wrapText="1"/>
    </xf>
    <xf numFmtId="0" fontId="0" fillId="0" borderId="0" xfId="0" applyFill="1" applyAlignment="1">
      <alignment/>
    </xf>
    <xf numFmtId="37" fontId="21" fillId="0" borderId="13" xfId="42" applyNumberFormat="1" applyFont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5" fontId="6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1" fillId="22" borderId="3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left"/>
    </xf>
    <xf numFmtId="5" fontId="17" fillId="0" borderId="23" xfId="0" applyNumberFormat="1" applyFont="1" applyFill="1" applyBorder="1" applyAlignment="1" applyProtection="1">
      <alignment/>
      <protection/>
    </xf>
    <xf numFmtId="0" fontId="17" fillId="0" borderId="22" xfId="0" applyFont="1" applyFill="1" applyBorder="1" applyAlignment="1">
      <alignment/>
    </xf>
    <xf numFmtId="0" fontId="17" fillId="0" borderId="45" xfId="0" applyFont="1" applyFill="1" applyBorder="1" applyAlignment="1" quotePrefix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5" fontId="17" fillId="0" borderId="46" xfId="0" applyNumberFormat="1" applyFont="1" applyFill="1" applyBorder="1" applyAlignment="1" applyProtection="1">
      <alignment vertical="center"/>
      <protection/>
    </xf>
    <xf numFmtId="0" fontId="17" fillId="22" borderId="35" xfId="0" applyFont="1" applyFill="1" applyBorder="1" applyAlignment="1">
      <alignment horizontal="left"/>
    </xf>
    <xf numFmtId="0" fontId="33" fillId="22" borderId="35" xfId="0" applyFont="1" applyFill="1" applyBorder="1" applyAlignment="1">
      <alignment/>
    </xf>
    <xf numFmtId="5" fontId="17" fillId="22" borderId="46" xfId="0" applyNumberFormat="1" applyFont="1" applyFill="1" applyBorder="1" applyAlignment="1" applyProtection="1">
      <alignment vertical="center"/>
      <protection/>
    </xf>
    <xf numFmtId="0" fontId="17" fillId="22" borderId="45" xfId="0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37" fontId="21" fillId="0" borderId="0" xfId="42" applyNumberFormat="1" applyFont="1" applyBorder="1" applyAlignment="1">
      <alignment/>
    </xf>
    <xf numFmtId="8" fontId="21" fillId="0" borderId="0" xfId="0" applyNumberFormat="1" applyFont="1" applyBorder="1" applyAlignment="1">
      <alignment/>
    </xf>
    <xf numFmtId="6" fontId="21" fillId="0" borderId="0" xfId="0" applyNumberFormat="1" applyFont="1" applyBorder="1" applyAlignment="1">
      <alignment/>
    </xf>
    <xf numFmtId="0" fontId="17" fillId="22" borderId="45" xfId="0" applyFont="1" applyFill="1" applyBorder="1" applyAlignment="1" quotePrefix="1">
      <alignment horizontal="left" vertical="center"/>
    </xf>
    <xf numFmtId="0" fontId="17" fillId="22" borderId="0" xfId="0" applyFont="1" applyFill="1" applyBorder="1" applyAlignment="1">
      <alignment horizontal="left"/>
    </xf>
    <xf numFmtId="0" fontId="33" fillId="22" borderId="0" xfId="0" applyFont="1" applyFill="1" applyBorder="1" applyAlignment="1">
      <alignment/>
    </xf>
    <xf numFmtId="5" fontId="17" fillId="22" borderId="47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7" fontId="2" fillId="0" borderId="0" xfId="45" applyNumberFormat="1" applyFont="1" applyFill="1" applyAlignment="1">
      <alignment horizontal="center"/>
    </xf>
    <xf numFmtId="7" fontId="2" fillId="0" borderId="0" xfId="45" applyNumberFormat="1" applyFont="1" applyFill="1" applyAlignment="1">
      <alignment/>
    </xf>
    <xf numFmtId="0" fontId="4" fillId="0" borderId="30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center"/>
    </xf>
    <xf numFmtId="0" fontId="30" fillId="0" borderId="49" xfId="0" applyFont="1" applyBorder="1" applyAlignment="1">
      <alignment horizontal="center" vertical="center" wrapText="1"/>
    </xf>
    <xf numFmtId="0" fontId="30" fillId="0" borderId="31" xfId="0" applyFont="1" applyBorder="1" applyAlignment="1" quotePrefix="1">
      <alignment horizontal="center" vertical="center" wrapText="1"/>
    </xf>
    <xf numFmtId="0" fontId="0" fillId="3" borderId="31" xfId="0" applyFill="1" applyBorder="1" applyAlignment="1">
      <alignment/>
    </xf>
    <xf numFmtId="0" fontId="0" fillId="0" borderId="12" xfId="0" applyBorder="1" applyAlignment="1">
      <alignment/>
    </xf>
    <xf numFmtId="0" fontId="21" fillId="4" borderId="11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11" xfId="0" applyFont="1" applyBorder="1" applyAlignment="1" quotePrefix="1">
      <alignment horizontal="center" vertical="center" wrapText="1"/>
    </xf>
    <xf numFmtId="0" fontId="30" fillId="0" borderId="51" xfId="0" applyFont="1" applyBorder="1" applyAlignment="1" quotePrefix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13" fillId="0" borderId="18" xfId="0" applyFont="1" applyFill="1" applyBorder="1" applyAlignment="1" quotePrefix="1">
      <alignment horizontal="left"/>
    </xf>
    <xf numFmtId="0" fontId="30" fillId="0" borderId="0" xfId="0" applyFont="1" applyBorder="1" applyAlignment="1">
      <alignment horizontal="center" wrapText="1"/>
    </xf>
    <xf numFmtId="6" fontId="0" fillId="0" borderId="40" xfId="0" applyNumberFormat="1" applyFont="1" applyFill="1" applyBorder="1" applyAlignment="1" applyProtection="1">
      <alignment/>
      <protection/>
    </xf>
    <xf numFmtId="38" fontId="0" fillId="0" borderId="12" xfId="0" applyNumberFormat="1" applyFont="1" applyBorder="1" applyAlignment="1">
      <alignment/>
    </xf>
    <xf numFmtId="0" fontId="30" fillId="0" borderId="31" xfId="0" applyFont="1" applyFill="1" applyBorder="1" applyAlignment="1" quotePrefix="1">
      <alignment horizontal="center" vertical="center"/>
    </xf>
    <xf numFmtId="0" fontId="32" fillId="0" borderId="11" xfId="0" applyFont="1" applyBorder="1" applyAlignment="1" quotePrefix="1">
      <alignment horizontal="center" vertical="center" wrapText="1"/>
    </xf>
    <xf numFmtId="0" fontId="3" fillId="0" borderId="52" xfId="0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 vertical="center" wrapText="1"/>
    </xf>
    <xf numFmtId="40" fontId="0" fillId="0" borderId="12" xfId="0" applyNumberFormat="1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10" fontId="0" fillId="0" borderId="12" xfId="62" applyNumberFormat="1" applyFont="1" applyFill="1" applyBorder="1" applyAlignment="1">
      <alignment/>
    </xf>
    <xf numFmtId="10" fontId="0" fillId="0" borderId="14" xfId="62" applyNumberFormat="1" applyFont="1" applyFill="1" applyBorder="1" applyAlignment="1">
      <alignment/>
    </xf>
    <xf numFmtId="0" fontId="5" fillId="0" borderId="31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37" fontId="18" fillId="0" borderId="0" xfId="42" applyNumberFormat="1" applyFont="1" applyBorder="1" applyAlignment="1">
      <alignment/>
    </xf>
    <xf numFmtId="6" fontId="18" fillId="0" borderId="0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Fill="1" applyBorder="1" applyAlignment="1" applyProtection="1">
      <alignment/>
      <protection/>
    </xf>
    <xf numFmtId="5" fontId="0" fillId="0" borderId="54" xfId="0" applyNumberFormat="1" applyFont="1" applyFill="1" applyBorder="1" applyAlignment="1" applyProtection="1">
      <alignment/>
      <protection/>
    </xf>
    <xf numFmtId="6" fontId="0" fillId="0" borderId="54" xfId="0" applyNumberFormat="1" applyFont="1" applyFill="1" applyBorder="1" applyAlignment="1" applyProtection="1">
      <alignment/>
      <protection/>
    </xf>
    <xf numFmtId="5" fontId="0" fillId="0" borderId="0" xfId="0" applyNumberFormat="1" applyFont="1" applyBorder="1" applyAlignment="1">
      <alignment/>
    </xf>
    <xf numFmtId="5" fontId="6" fillId="0" borderId="21" xfId="0" applyNumberFormat="1" applyFont="1" applyFill="1" applyBorder="1" applyAlignment="1">
      <alignment/>
    </xf>
    <xf numFmtId="5" fontId="6" fillId="0" borderId="37" xfId="0" applyNumberFormat="1" applyFont="1" applyFill="1" applyBorder="1" applyAlignment="1" applyProtection="1">
      <alignment horizontal="right"/>
      <protection/>
    </xf>
    <xf numFmtId="5" fontId="14" fillId="0" borderId="30" xfId="0" applyNumberFormat="1" applyFont="1" applyFill="1" applyBorder="1" applyAlignment="1">
      <alignment/>
    </xf>
    <xf numFmtId="5" fontId="37" fillId="0" borderId="30" xfId="0" applyNumberFormat="1" applyFont="1" applyFill="1" applyBorder="1" applyAlignment="1">
      <alignment horizontal="center" wrapText="1"/>
    </xf>
    <xf numFmtId="10" fontId="6" fillId="0" borderId="23" xfId="62" applyNumberFormat="1" applyFont="1" applyFill="1" applyBorder="1" applyAlignment="1" applyProtection="1">
      <alignment/>
      <protection/>
    </xf>
    <xf numFmtId="43" fontId="6" fillId="0" borderId="23" xfId="42" applyFont="1" applyFill="1" applyBorder="1" applyAlignment="1" applyProtection="1">
      <alignment/>
      <protection/>
    </xf>
    <xf numFmtId="6" fontId="38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5" fontId="6" fillId="0" borderId="34" xfId="42" applyNumberFormat="1" applyFont="1" applyFill="1" applyBorder="1" applyAlignment="1" applyProtection="1">
      <alignment/>
      <protection/>
    </xf>
    <xf numFmtId="165" fontId="6" fillId="0" borderId="26" xfId="42" applyNumberFormat="1" applyFont="1" applyFill="1" applyBorder="1" applyAlignment="1" applyProtection="1">
      <alignment/>
      <protection/>
    </xf>
    <xf numFmtId="165" fontId="6" fillId="0" borderId="23" xfId="42" applyNumberFormat="1" applyFont="1" applyFill="1" applyBorder="1" applyAlignment="1" applyProtection="1">
      <alignment/>
      <protection/>
    </xf>
    <xf numFmtId="165" fontId="6" fillId="0" borderId="27" xfId="42" applyNumberFormat="1" applyFont="1" applyFill="1" applyBorder="1" applyAlignment="1" applyProtection="1">
      <alignment horizontal="right"/>
      <protection/>
    </xf>
    <xf numFmtId="165" fontId="6" fillId="0" borderId="27" xfId="42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left"/>
    </xf>
    <xf numFmtId="8" fontId="0" fillId="0" borderId="0" xfId="0" applyNumberFormat="1" applyFont="1" applyAlignment="1">
      <alignment/>
    </xf>
    <xf numFmtId="165" fontId="0" fillId="0" borderId="12" xfId="4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40" fillId="0" borderId="0" xfId="0" applyFont="1" applyBorder="1" applyAlignment="1" quotePrefix="1">
      <alignment horizontal="left"/>
    </xf>
    <xf numFmtId="2" fontId="0" fillId="0" borderId="12" xfId="0" applyNumberFormat="1" applyFont="1" applyBorder="1" applyAlignment="1">
      <alignment/>
    </xf>
    <xf numFmtId="4" fontId="0" fillId="0" borderId="12" xfId="42" applyNumberFormat="1" applyFont="1" applyBorder="1" applyAlignment="1">
      <alignment/>
    </xf>
    <xf numFmtId="4" fontId="0" fillId="0" borderId="42" xfId="42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43" xfId="42" applyNumberFormat="1" applyFont="1" applyBorder="1" applyAlignment="1">
      <alignment/>
    </xf>
    <xf numFmtId="0" fontId="30" fillId="0" borderId="0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 quotePrefix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5" fontId="21" fillId="0" borderId="13" xfId="45" applyNumberFormat="1" applyFont="1" applyBorder="1" applyAlignment="1">
      <alignment horizontal="right"/>
    </xf>
    <xf numFmtId="3" fontId="0" fillId="0" borderId="4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12" xfId="42" applyNumberFormat="1" applyFont="1" applyFill="1" applyBorder="1" applyAlignment="1">
      <alignment/>
    </xf>
    <xf numFmtId="4" fontId="0" fillId="0" borderId="42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42" xfId="0" applyNumberFormat="1" applyFont="1" applyFill="1" applyBorder="1" applyAlignment="1">
      <alignment/>
    </xf>
    <xf numFmtId="166" fontId="0" fillId="0" borderId="43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165" fontId="0" fillId="0" borderId="12" xfId="42" applyNumberFormat="1" applyFont="1" applyFill="1" applyBorder="1" applyAlignment="1">
      <alignment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7" fontId="16" fillId="0" borderId="0" xfId="45" applyNumberFormat="1" applyFont="1" applyFill="1" applyAlignment="1" quotePrefix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5" fontId="6" fillId="0" borderId="47" xfId="0" applyNumberFormat="1" applyFont="1" applyFill="1" applyBorder="1" applyAlignment="1" applyProtection="1">
      <alignment/>
      <protection/>
    </xf>
    <xf numFmtId="0" fontId="17" fillId="0" borderId="15" xfId="0" applyFont="1" applyFill="1" applyBorder="1" applyAlignment="1">
      <alignment horizontal="left"/>
    </xf>
    <xf numFmtId="5" fontId="17" fillId="0" borderId="0" xfId="0" applyNumberFormat="1" applyFont="1" applyFill="1" applyBorder="1" applyAlignment="1" applyProtection="1">
      <alignment/>
      <protection/>
    </xf>
    <xf numFmtId="0" fontId="4" fillId="0" borderId="57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7" fillId="0" borderId="5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5" fontId="6" fillId="0" borderId="58" xfId="0" applyNumberFormat="1" applyFont="1" applyFill="1" applyBorder="1" applyAlignment="1" applyProtection="1">
      <alignment/>
      <protection/>
    </xf>
    <xf numFmtId="0" fontId="4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3" fillId="22" borderId="59" xfId="0" applyFont="1" applyFill="1" applyBorder="1" applyAlignment="1">
      <alignment/>
    </xf>
    <xf numFmtId="0" fontId="33" fillId="22" borderId="63" xfId="0" applyFont="1" applyFill="1" applyBorder="1" applyAlignment="1">
      <alignment/>
    </xf>
    <xf numFmtId="0" fontId="0" fillId="0" borderId="59" xfId="0" applyBorder="1" applyAlignment="1">
      <alignment/>
    </xf>
    <xf numFmtId="0" fontId="6" fillId="0" borderId="59" xfId="0" applyFont="1" applyFill="1" applyBorder="1" applyAlignment="1">
      <alignment/>
    </xf>
    <xf numFmtId="0" fontId="17" fillId="22" borderId="66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7" fontId="2" fillId="0" borderId="0" xfId="4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5" fontId="6" fillId="0" borderId="67" xfId="0" applyNumberFormat="1" applyFont="1" applyFill="1" applyBorder="1" applyAlignment="1" applyProtection="1">
      <alignment/>
      <protection/>
    </xf>
    <xf numFmtId="0" fontId="4" fillId="0" borderId="55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4" fillId="0" borderId="22" xfId="0" applyFont="1" applyFill="1" applyBorder="1" applyAlignment="1" quotePrefix="1">
      <alignment horizontal="center"/>
    </xf>
    <xf numFmtId="10" fontId="0" fillId="0" borderId="0" xfId="6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0" fontId="0" fillId="0" borderId="0" xfId="62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5" fontId="6" fillId="0" borderId="68" xfId="0" applyNumberFormat="1" applyFont="1" applyFill="1" applyBorder="1" applyAlignment="1" applyProtection="1">
      <alignment vertical="center"/>
      <protection/>
    </xf>
    <xf numFmtId="5" fontId="6" fillId="0" borderId="67" xfId="0" applyNumberFormat="1" applyFont="1" applyFill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/>
      <protection/>
    </xf>
    <xf numFmtId="165" fontId="4" fillId="0" borderId="26" xfId="42" applyNumberFormat="1" applyFont="1" applyFill="1" applyBorder="1" applyAlignment="1" applyProtection="1">
      <alignment/>
      <protection/>
    </xf>
    <xf numFmtId="165" fontId="4" fillId="0" borderId="23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right"/>
    </xf>
    <xf numFmtId="10" fontId="0" fillId="0" borderId="12" xfId="62" applyNumberFormat="1" applyFont="1" applyBorder="1" applyAlignment="1">
      <alignment/>
    </xf>
    <xf numFmtId="10" fontId="0" fillId="0" borderId="14" xfId="62" applyNumberFormat="1" applyFont="1" applyBorder="1" applyAlignment="1">
      <alignment/>
    </xf>
    <xf numFmtId="10" fontId="3" fillId="0" borderId="13" xfId="62" applyNumberFormat="1" applyFont="1" applyBorder="1" applyAlignment="1">
      <alignment/>
    </xf>
    <xf numFmtId="5" fontId="1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69" xfId="42" applyNumberFormat="1" applyFont="1" applyFill="1" applyBorder="1" applyAlignment="1" applyProtection="1">
      <alignment/>
      <protection/>
    </xf>
    <xf numFmtId="165" fontId="0" fillId="0" borderId="70" xfId="42" applyNumberFormat="1" applyFont="1" applyFill="1" applyBorder="1" applyAlignment="1" applyProtection="1">
      <alignment/>
      <protection/>
    </xf>
    <xf numFmtId="165" fontId="0" fillId="0" borderId="71" xfId="42" applyNumberFormat="1" applyFont="1" applyFill="1" applyBorder="1" applyAlignment="1" applyProtection="1">
      <alignment/>
      <protection/>
    </xf>
    <xf numFmtId="6" fontId="0" fillId="0" borderId="69" xfId="42" applyNumberFormat="1" applyFont="1" applyFill="1" applyBorder="1" applyAlignment="1" applyProtection="1">
      <alignment/>
      <protection/>
    </xf>
    <xf numFmtId="6" fontId="0" fillId="0" borderId="70" xfId="42" applyNumberFormat="1" applyFont="1" applyFill="1" applyBorder="1" applyAlignment="1" applyProtection="1">
      <alignment/>
      <protection/>
    </xf>
    <xf numFmtId="6" fontId="0" fillId="0" borderId="71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30" xfId="0" applyFont="1" applyFill="1" applyBorder="1" applyAlignment="1">
      <alignment/>
    </xf>
    <xf numFmtId="0" fontId="18" fillId="4" borderId="1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3" borderId="31" xfId="42" applyNumberFormat="1" applyFont="1" applyFill="1" applyBorder="1" applyAlignment="1">
      <alignment horizontal="center"/>
    </xf>
    <xf numFmtId="1" fontId="15" fillId="3" borderId="31" xfId="42" applyNumberFormat="1" applyFont="1" applyFill="1" applyBorder="1" applyAlignment="1" quotePrefix="1">
      <alignment horizontal="center"/>
    </xf>
    <xf numFmtId="1" fontId="15" fillId="3" borderId="31" xfId="42" applyNumberFormat="1" applyFont="1" applyFill="1" applyBorder="1" applyAlignment="1">
      <alignment horizontal="center"/>
    </xf>
    <xf numFmtId="1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5" fontId="6" fillId="0" borderId="47" xfId="0" applyNumberFormat="1" applyFont="1" applyFill="1" applyBorder="1" applyAlignment="1" applyProtection="1">
      <alignment vertical="top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6" fontId="2" fillId="0" borderId="11" xfId="0" applyNumberFormat="1" applyFont="1" applyFill="1" applyBorder="1" applyAlignment="1">
      <alignment horizontal="center" vertical="center" wrapText="1"/>
    </xf>
    <xf numFmtId="1" fontId="0" fillId="3" borderId="72" xfId="0" applyNumberFormat="1" applyFont="1" applyFill="1" applyBorder="1" applyAlignment="1" applyProtection="1">
      <alignment/>
      <protection/>
    </xf>
    <xf numFmtId="1" fontId="15" fillId="3" borderId="31" xfId="0" applyNumberFormat="1" applyFont="1" applyFill="1" applyBorder="1" applyAlignment="1" quotePrefix="1">
      <alignment horizontal="center"/>
    </xf>
    <xf numFmtId="3" fontId="0" fillId="0" borderId="14" xfId="0" applyNumberForma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6" fontId="0" fillId="0" borderId="0" xfId="42" applyNumberFormat="1" applyFont="1" applyFill="1" applyBorder="1" applyAlignment="1" applyProtection="1">
      <alignment/>
      <protection/>
    </xf>
    <xf numFmtId="6" fontId="0" fillId="0" borderId="73" xfId="42" applyNumberFormat="1" applyFont="1" applyFill="1" applyBorder="1" applyAlignment="1" applyProtection="1">
      <alignment/>
      <protection/>
    </xf>
    <xf numFmtId="5" fontId="0" fillId="0" borderId="74" xfId="0" applyNumberFormat="1" applyFont="1" applyFill="1" applyBorder="1" applyAlignment="1" applyProtection="1">
      <alignment/>
      <protection/>
    </xf>
    <xf numFmtId="5" fontId="0" fillId="0" borderId="75" xfId="0" applyNumberFormat="1" applyFont="1" applyFill="1" applyBorder="1" applyAlignment="1" applyProtection="1">
      <alignment/>
      <protection/>
    </xf>
    <xf numFmtId="5" fontId="0" fillId="0" borderId="76" xfId="0" applyNumberFormat="1" applyFont="1" applyFill="1" applyBorder="1" applyAlignment="1" applyProtection="1">
      <alignment/>
      <protection/>
    </xf>
    <xf numFmtId="165" fontId="0" fillId="0" borderId="77" xfId="42" applyNumberFormat="1" applyFont="1" applyFill="1" applyBorder="1" applyAlignment="1" applyProtection="1">
      <alignment/>
      <protection/>
    </xf>
    <xf numFmtId="165" fontId="0" fillId="0" borderId="52" xfId="42" applyNumberFormat="1" applyFont="1" applyFill="1" applyBorder="1" applyAlignment="1" applyProtection="1">
      <alignment/>
      <protection/>
    </xf>
    <xf numFmtId="165" fontId="0" fillId="0" borderId="78" xfId="42" applyNumberFormat="1" applyFont="1" applyFill="1" applyBorder="1" applyAlignment="1" applyProtection="1">
      <alignment/>
      <protection/>
    </xf>
    <xf numFmtId="165" fontId="0" fillId="0" borderId="79" xfId="42" applyNumberFormat="1" applyFont="1" applyFill="1" applyBorder="1" applyAlignment="1" applyProtection="1">
      <alignment/>
      <protection/>
    </xf>
    <xf numFmtId="165" fontId="0" fillId="0" borderId="80" xfId="42" applyNumberFormat="1" applyFont="1" applyFill="1" applyBorder="1" applyAlignment="1" applyProtection="1">
      <alignment/>
      <protection/>
    </xf>
    <xf numFmtId="1" fontId="15" fillId="3" borderId="44" xfId="42" applyNumberFormat="1" applyFont="1" applyFill="1" applyBorder="1" applyAlignment="1" quotePrefix="1">
      <alignment horizontal="center"/>
    </xf>
    <xf numFmtId="0" fontId="15" fillId="3" borderId="31" xfId="42" applyNumberFormat="1" applyFont="1" applyFill="1" applyBorder="1" applyAlignment="1" quotePrefix="1">
      <alignment horizontal="center"/>
    </xf>
    <xf numFmtId="0" fontId="15" fillId="3" borderId="49" xfId="42" applyNumberFormat="1" applyFont="1" applyFill="1" applyBorder="1" applyAlignment="1" quotePrefix="1">
      <alignment horizontal="center"/>
    </xf>
    <xf numFmtId="5" fontId="6" fillId="0" borderId="26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5" fontId="6" fillId="0" borderId="27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 wrapText="1"/>
    </xf>
    <xf numFmtId="0" fontId="20" fillId="0" borderId="0" xfId="0" applyFont="1" applyAlignment="1">
      <alignment horizontal="left" wrapText="1"/>
    </xf>
    <xf numFmtId="166" fontId="0" fillId="0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44" xfId="0" applyFont="1" applyFill="1" applyBorder="1" applyAlignment="1" quotePrefix="1">
      <alignment horizontal="center" vertical="center"/>
    </xf>
    <xf numFmtId="166" fontId="0" fillId="0" borderId="42" xfId="0" applyNumberFormat="1" applyFont="1" applyBorder="1" applyAlignment="1">
      <alignment/>
    </xf>
    <xf numFmtId="166" fontId="0" fillId="0" borderId="43" xfId="0" applyNumberFormat="1" applyFont="1" applyBorder="1" applyAlignment="1">
      <alignment/>
    </xf>
    <xf numFmtId="6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quotePrefix="1">
      <alignment horizontal="center" vertical="center" wrapText="1"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15" fillId="0" borderId="0" xfId="42" applyNumberFormat="1" applyFont="1" applyFill="1" applyBorder="1" applyAlignment="1" quotePrefix="1">
      <alignment horizontal="center"/>
    </xf>
    <xf numFmtId="1" fontId="0" fillId="0" borderId="0" xfId="0" applyNumberForma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9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3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7" fontId="2" fillId="0" borderId="81" xfId="45" applyNumberFormat="1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10" fontId="2" fillId="0" borderId="84" xfId="0" applyNumberFormat="1" applyFont="1" applyBorder="1" applyAlignment="1">
      <alignment/>
    </xf>
    <xf numFmtId="6" fontId="0" fillId="0" borderId="50" xfId="0" applyNumberFormat="1" applyFont="1" applyBorder="1" applyAlignment="1">
      <alignment/>
    </xf>
    <xf numFmtId="0" fontId="2" fillId="0" borderId="84" xfId="0" applyFont="1" applyBorder="1" applyAlignment="1">
      <alignment/>
    </xf>
    <xf numFmtId="0" fontId="0" fillId="0" borderId="85" xfId="0" applyFont="1" applyBorder="1" applyAlignment="1">
      <alignment/>
    </xf>
    <xf numFmtId="167" fontId="0" fillId="0" borderId="35" xfId="0" applyNumberFormat="1" applyFont="1" applyFill="1" applyBorder="1" applyAlignment="1">
      <alignment/>
    </xf>
    <xf numFmtId="167" fontId="0" fillId="0" borderId="86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5" fontId="21" fillId="0" borderId="0" xfId="0" applyNumberFormat="1" applyFont="1" applyFill="1" applyBorder="1" applyAlignment="1" applyProtection="1">
      <alignment/>
      <protection/>
    </xf>
    <xf numFmtId="0" fontId="53" fillId="4" borderId="11" xfId="0" applyFont="1" applyFill="1" applyBorder="1" applyAlignment="1">
      <alignment horizontal="center" vertical="center" wrapText="1"/>
    </xf>
    <xf numFmtId="0" fontId="35" fillId="4" borderId="51" xfId="0" applyFont="1" applyFill="1" applyBorder="1" applyAlignment="1">
      <alignment horizontal="center" vertical="center" wrapText="1"/>
    </xf>
    <xf numFmtId="0" fontId="35" fillId="22" borderId="11" xfId="0" applyFont="1" applyFill="1" applyBorder="1" applyAlignment="1">
      <alignment horizontal="center" vertical="center" wrapText="1"/>
    </xf>
    <xf numFmtId="1" fontId="15" fillId="3" borderId="44" xfId="42" applyNumberFormat="1" applyFont="1" applyFill="1" applyBorder="1" applyAlignment="1">
      <alignment horizontal="center"/>
    </xf>
    <xf numFmtId="6" fontId="21" fillId="0" borderId="87" xfId="0" applyNumberFormat="1" applyFont="1" applyBorder="1" applyAlignment="1">
      <alignment/>
    </xf>
    <xf numFmtId="0" fontId="45" fillId="0" borderId="0" xfId="0" applyFont="1" applyAlignment="1">
      <alignment/>
    </xf>
    <xf numFmtId="43" fontId="6" fillId="0" borderId="23" xfId="42" applyFont="1" applyFill="1" applyBorder="1" applyAlignment="1" applyProtection="1">
      <alignment horizontal="right"/>
      <protection/>
    </xf>
    <xf numFmtId="10" fontId="6" fillId="0" borderId="23" xfId="62" applyNumberFormat="1" applyFont="1" applyFill="1" applyBorder="1" applyAlignment="1" applyProtection="1">
      <alignment horizontal="right"/>
      <protection/>
    </xf>
    <xf numFmtId="0" fontId="24" fillId="0" borderId="88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21" fillId="20" borderId="31" xfId="0" applyFont="1" applyFill="1" applyBorder="1" applyAlignment="1">
      <alignment horizontal="center" vertical="center" wrapText="1"/>
    </xf>
    <xf numFmtId="0" fontId="15" fillId="0" borderId="0" xfId="42" applyNumberFormat="1" applyFont="1" applyFill="1" applyBorder="1" applyAlignment="1" quotePrefix="1">
      <alignment horizontal="center"/>
    </xf>
    <xf numFmtId="166" fontId="49" fillId="0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4" xfId="6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9" fontId="11" fillId="0" borderId="12" xfId="0" applyNumberFormat="1" applyFont="1" applyFill="1" applyBorder="1" applyAlignment="1">
      <alignment/>
    </xf>
    <xf numFmtId="9" fontId="0" fillId="0" borderId="42" xfId="0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4" xfId="0" applyNumberFormat="1" applyFont="1" applyFill="1" applyBorder="1" applyAlignment="1">
      <alignment/>
    </xf>
    <xf numFmtId="10" fontId="0" fillId="0" borderId="0" xfId="62" applyNumberFormat="1" applyFont="1" applyAlignment="1">
      <alignment/>
    </xf>
    <xf numFmtId="9" fontId="2" fillId="0" borderId="12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4" fillId="0" borderId="25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/>
    </xf>
    <xf numFmtId="0" fontId="5" fillId="0" borderId="51" xfId="0" applyFont="1" applyBorder="1" applyAlignment="1">
      <alignment horizontal="center"/>
    </xf>
    <xf numFmtId="0" fontId="48" fillId="0" borderId="4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4" fillId="0" borderId="90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15" fontId="0" fillId="25" borderId="31" xfId="0" applyNumberFormat="1" applyFont="1" applyFill="1" applyBorder="1" applyAlignment="1">
      <alignment horizontal="center"/>
    </xf>
    <xf numFmtId="0" fontId="3" fillId="26" borderId="31" xfId="0" applyFont="1" applyFill="1" applyBorder="1" applyAlignment="1">
      <alignment horizontal="center"/>
    </xf>
    <xf numFmtId="165" fontId="3" fillId="26" borderId="31" xfId="42" applyNumberFormat="1" applyFont="1" applyFill="1" applyBorder="1" applyAlignment="1">
      <alignment horizontal="center"/>
    </xf>
    <xf numFmtId="165" fontId="0" fillId="26" borderId="31" xfId="42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" fontId="3" fillId="3" borderId="91" xfId="0" applyNumberFormat="1" applyFont="1" applyFill="1" applyBorder="1" applyAlignment="1" applyProtection="1">
      <alignment/>
      <protection/>
    </xf>
    <xf numFmtId="0" fontId="0" fillId="0" borderId="69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0" fontId="0" fillId="0" borderId="71" xfId="0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>
      <alignment horizontal="left"/>
    </xf>
    <xf numFmtId="5" fontId="3" fillId="0" borderId="0" xfId="0" applyNumberFormat="1" applyFont="1" applyBorder="1" applyAlignment="1" applyProtection="1">
      <alignment/>
      <protection/>
    </xf>
    <xf numFmtId="166" fontId="15" fillId="4" borderId="31" xfId="0" applyNumberFormat="1" applyFont="1" applyFill="1" applyBorder="1" applyAlignment="1">
      <alignment horizontal="center" wrapText="1"/>
    </xf>
    <xf numFmtId="6" fontId="15" fillId="4" borderId="31" xfId="0" applyNumberFormat="1" applyFont="1" applyFill="1" applyBorder="1" applyAlignment="1">
      <alignment horizontal="center" wrapText="1"/>
    </xf>
    <xf numFmtId="8" fontId="15" fillId="4" borderId="31" xfId="0" applyNumberFormat="1" applyFont="1" applyFill="1" applyBorder="1" applyAlignment="1">
      <alignment horizontal="center" wrapText="1"/>
    </xf>
    <xf numFmtId="1" fontId="15" fillId="3" borderId="92" xfId="0" applyNumberFormat="1" applyFont="1" applyFill="1" applyBorder="1" applyAlignment="1" applyProtection="1" quotePrefix="1">
      <alignment horizontal="center"/>
      <protection/>
    </xf>
    <xf numFmtId="5" fontId="0" fillId="0" borderId="12" xfId="0" applyNumberFormat="1" applyFont="1" applyFill="1" applyBorder="1" applyAlignment="1" applyProtection="1">
      <alignment/>
      <protection/>
    </xf>
    <xf numFmtId="5" fontId="3" fillId="0" borderId="79" xfId="0" applyNumberFormat="1" applyFont="1" applyFill="1" applyBorder="1" applyAlignment="1" applyProtection="1">
      <alignment/>
      <protection/>
    </xf>
    <xf numFmtId="5" fontId="0" fillId="0" borderId="79" xfId="0" applyNumberFormat="1" applyFont="1" applyFill="1" applyBorder="1" applyAlignment="1" applyProtection="1">
      <alignment/>
      <protection/>
    </xf>
    <xf numFmtId="5" fontId="3" fillId="0" borderId="12" xfId="0" applyNumberFormat="1" applyFont="1" applyFill="1" applyBorder="1" applyAlignment="1" applyProtection="1">
      <alignment/>
      <protection/>
    </xf>
    <xf numFmtId="37" fontId="0" fillId="0" borderId="12" xfId="42" applyNumberFormat="1" applyFont="1" applyFill="1" applyBorder="1" applyAlignment="1" applyProtection="1">
      <alignment/>
      <protection/>
    </xf>
    <xf numFmtId="38" fontId="0" fillId="0" borderId="12" xfId="0" applyNumberFormat="1" applyFont="1" applyFill="1" applyBorder="1" applyAlignment="1" applyProtection="1">
      <alignment/>
      <protection/>
    </xf>
    <xf numFmtId="165" fontId="3" fillId="0" borderId="12" xfId="42" applyNumberFormat="1" applyFont="1" applyFill="1" applyBorder="1" applyAlignment="1" applyProtection="1">
      <alignment/>
      <protection/>
    </xf>
    <xf numFmtId="166" fontId="0" fillId="0" borderId="12" xfId="42" applyNumberFormat="1" applyFont="1" applyFill="1" applyBorder="1" applyAlignment="1" applyProtection="1">
      <alignment/>
      <protection/>
    </xf>
    <xf numFmtId="6" fontId="3" fillId="0" borderId="12" xfId="0" applyNumberFormat="1" applyFont="1" applyFill="1" applyBorder="1" applyAlignment="1" applyProtection="1">
      <alignment/>
      <protection/>
    </xf>
    <xf numFmtId="5" fontId="0" fillId="0" borderId="80" xfId="0" applyNumberFormat="1" applyFont="1" applyFill="1" applyBorder="1" applyAlignment="1" applyProtection="1">
      <alignment/>
      <protection/>
    </xf>
    <xf numFmtId="165" fontId="0" fillId="0" borderId="14" xfId="42" applyNumberFormat="1" applyFont="1" applyFill="1" applyBorder="1" applyAlignment="1" applyProtection="1">
      <alignment/>
      <protection/>
    </xf>
    <xf numFmtId="5" fontId="3" fillId="0" borderId="80" xfId="0" applyNumberFormat="1" applyFont="1" applyFill="1" applyBorder="1" applyAlignment="1" applyProtection="1">
      <alignment/>
      <protection/>
    </xf>
    <xf numFmtId="37" fontId="0" fillId="0" borderId="14" xfId="42" applyNumberFormat="1" applyFont="1" applyFill="1" applyBorder="1" applyAlignment="1" applyProtection="1">
      <alignment/>
      <protection/>
    </xf>
    <xf numFmtId="38" fontId="0" fillId="0" borderId="80" xfId="0" applyNumberFormat="1" applyFont="1" applyFill="1" applyBorder="1" applyAlignment="1" applyProtection="1">
      <alignment/>
      <protection/>
    </xf>
    <xf numFmtId="165" fontId="3" fillId="0" borderId="80" xfId="42" applyNumberFormat="1" applyFont="1" applyFill="1" applyBorder="1" applyAlignment="1" applyProtection="1">
      <alignment/>
      <protection/>
    </xf>
    <xf numFmtId="166" fontId="0" fillId="0" borderId="80" xfId="42" applyNumberFormat="1" applyFont="1" applyFill="1" applyBorder="1" applyAlignment="1" applyProtection="1">
      <alignment/>
      <protection/>
    </xf>
    <xf numFmtId="6" fontId="3" fillId="0" borderId="80" xfId="0" applyNumberFormat="1" applyFont="1" applyFill="1" applyBorder="1" applyAlignment="1" applyProtection="1">
      <alignment/>
      <protection/>
    </xf>
    <xf numFmtId="166" fontId="0" fillId="0" borderId="14" xfId="42" applyNumberFormat="1" applyFont="1" applyFill="1" applyBorder="1" applyAlignment="1" applyProtection="1">
      <alignment/>
      <protection/>
    </xf>
    <xf numFmtId="37" fontId="0" fillId="0" borderId="80" xfId="42" applyNumberFormat="1" applyFont="1" applyFill="1" applyBorder="1" applyAlignment="1" applyProtection="1">
      <alignment/>
      <protection/>
    </xf>
    <xf numFmtId="5" fontId="3" fillId="0" borderId="14" xfId="0" applyNumberFormat="1" applyFont="1" applyFill="1" applyBorder="1" applyAlignment="1" applyProtection="1">
      <alignment/>
      <protection/>
    </xf>
    <xf numFmtId="37" fontId="0" fillId="0" borderId="79" xfId="42" applyNumberFormat="1" applyFont="1" applyFill="1" applyBorder="1" applyAlignment="1" applyProtection="1">
      <alignment/>
      <protection/>
    </xf>
    <xf numFmtId="165" fontId="3" fillId="0" borderId="79" xfId="42" applyNumberFormat="1" applyFont="1" applyFill="1" applyBorder="1" applyAlignment="1" applyProtection="1">
      <alignment/>
      <protection/>
    </xf>
    <xf numFmtId="166" fontId="0" fillId="0" borderId="79" xfId="42" applyNumberFormat="1" applyFont="1" applyFill="1" applyBorder="1" applyAlignment="1" applyProtection="1">
      <alignment/>
      <protection/>
    </xf>
    <xf numFmtId="6" fontId="3" fillId="0" borderId="79" xfId="0" applyNumberFormat="1" applyFont="1" applyFill="1" applyBorder="1" applyAlignment="1" applyProtection="1">
      <alignment/>
      <protection/>
    </xf>
    <xf numFmtId="0" fontId="35" fillId="4" borderId="11" xfId="0" applyFont="1" applyFill="1" applyBorder="1" applyAlignment="1">
      <alignment horizontal="center" vertical="center" wrapText="1"/>
    </xf>
    <xf numFmtId="0" fontId="53" fillId="25" borderId="11" xfId="0" applyFont="1" applyFill="1" applyBorder="1" applyAlignment="1">
      <alignment horizontal="center" vertical="center" wrapText="1"/>
    </xf>
    <xf numFmtId="0" fontId="35" fillId="25" borderId="5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5" fontId="17" fillId="22" borderId="37" xfId="0" applyNumberFormat="1" applyFont="1" applyFill="1" applyBorder="1" applyAlignment="1" applyProtection="1">
      <alignment/>
      <protection/>
    </xf>
    <xf numFmtId="6" fontId="0" fillId="0" borderId="0" xfId="0" applyNumberForma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6" fontId="59" fillId="0" borderId="12" xfId="0" applyNumberFormat="1" applyFont="1" applyFill="1" applyBorder="1" applyAlignment="1">
      <alignment/>
    </xf>
    <xf numFmtId="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" fontId="15" fillId="0" borderId="0" xfId="0" applyNumberFormat="1" applyFont="1" applyFill="1" applyBorder="1" applyAlignment="1" quotePrefix="1">
      <alignment horizontal="center"/>
    </xf>
    <xf numFmtId="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6" fontId="0" fillId="0" borderId="12" xfId="45" applyNumberFormat="1" applyFont="1" applyBorder="1" applyAlignment="1">
      <alignment/>
    </xf>
    <xf numFmtId="6" fontId="0" fillId="0" borderId="14" xfId="45" applyNumberFormat="1" applyFont="1" applyBorder="1" applyAlignment="1">
      <alignment/>
    </xf>
    <xf numFmtId="6" fontId="0" fillId="0" borderId="12" xfId="45" applyNumberFormat="1" applyFont="1" applyFill="1" applyBorder="1" applyAlignment="1">
      <alignment/>
    </xf>
    <xf numFmtId="6" fontId="0" fillId="22" borderId="12" xfId="45" applyNumberFormat="1" applyFont="1" applyFill="1" applyBorder="1" applyAlignment="1">
      <alignment/>
    </xf>
    <xf numFmtId="6" fontId="0" fillId="22" borderId="14" xfId="45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0" fontId="17" fillId="22" borderId="62" xfId="0" applyFont="1" applyFill="1" applyBorder="1" applyAlignment="1" quotePrefix="1">
      <alignment horizontal="center"/>
    </xf>
    <xf numFmtId="0" fontId="17" fillId="22" borderId="93" xfId="0" applyFont="1" applyFill="1" applyBorder="1" applyAlignment="1">
      <alignment horizontal="left"/>
    </xf>
    <xf numFmtId="0" fontId="33" fillId="22" borderId="93" xfId="0" applyFont="1" applyFill="1" applyBorder="1" applyAlignment="1">
      <alignment/>
    </xf>
    <xf numFmtId="5" fontId="33" fillId="22" borderId="94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51" xfId="0" applyFont="1" applyFill="1" applyBorder="1" applyAlignment="1">
      <alignment/>
    </xf>
    <xf numFmtId="5" fontId="0" fillId="0" borderId="95" xfId="0" applyNumberFormat="1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5" xfId="0" applyFont="1" applyBorder="1" applyAlignment="1">
      <alignment/>
    </xf>
    <xf numFmtId="0" fontId="21" fillId="4" borderId="14" xfId="0" applyFont="1" applyFill="1" applyBorder="1" applyAlignment="1">
      <alignment horizontal="center" vertical="center" wrapText="1"/>
    </xf>
    <xf numFmtId="6" fontId="0" fillId="0" borderId="12" xfId="0" applyNumberFormat="1" applyFont="1" applyFill="1" applyBorder="1" applyAlignment="1" applyProtection="1">
      <alignment/>
      <protection/>
    </xf>
    <xf numFmtId="6" fontId="0" fillId="0" borderId="80" xfId="0" applyNumberFormat="1" applyFont="1" applyFill="1" applyBorder="1" applyAlignment="1" applyProtection="1">
      <alignment/>
      <protection/>
    </xf>
    <xf numFmtId="6" fontId="0" fillId="0" borderId="7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wrapText="1"/>
    </xf>
    <xf numFmtId="0" fontId="21" fillId="4" borderId="14" xfId="0" applyFont="1" applyFill="1" applyBorder="1" applyAlignment="1" quotePrefix="1">
      <alignment horizontal="center" vertical="center" wrapText="1"/>
    </xf>
    <xf numFmtId="38" fontId="15" fillId="4" borderId="14" xfId="0" applyNumberFormat="1" applyFont="1" applyFill="1" applyBorder="1" applyAlignment="1" quotePrefix="1">
      <alignment horizontal="center" wrapText="1"/>
    </xf>
    <xf numFmtId="9" fontId="16" fillId="22" borderId="96" xfId="62" applyFont="1" applyFill="1" applyBorder="1" applyAlignment="1">
      <alignment horizontal="right"/>
    </xf>
    <xf numFmtId="9" fontId="16" fillId="22" borderId="97" xfId="0" applyNumberFormat="1" applyFont="1" applyFill="1" applyBorder="1" applyAlignment="1">
      <alignment horizontal="right"/>
    </xf>
    <xf numFmtId="9" fontId="16" fillId="22" borderId="97" xfId="62" applyFont="1" applyFill="1" applyBorder="1" applyAlignment="1">
      <alignment horizontal="right"/>
    </xf>
    <xf numFmtId="165" fontId="16" fillId="22" borderId="97" xfId="42" applyNumberFormat="1" applyFont="1" applyFill="1" applyBorder="1" applyAlignment="1">
      <alignment horizontal="right"/>
    </xf>
    <xf numFmtId="165" fontId="16" fillId="22" borderId="96" xfId="42" applyNumberFormat="1" applyFont="1" applyFill="1" applyBorder="1" applyAlignment="1">
      <alignment horizontal="right"/>
    </xf>
    <xf numFmtId="166" fontId="16" fillId="22" borderId="97" xfId="42" applyNumberFormat="1" applyFont="1" applyFill="1" applyBorder="1" applyAlignment="1">
      <alignment horizontal="right"/>
    </xf>
    <xf numFmtId="9" fontId="16" fillId="22" borderId="97" xfId="42" applyNumberFormat="1" applyFont="1" applyFill="1" applyBorder="1" applyAlignment="1">
      <alignment horizontal="right"/>
    </xf>
    <xf numFmtId="9" fontId="16" fillId="22" borderId="97" xfId="0" applyNumberFormat="1" applyFont="1" applyFill="1" applyBorder="1" applyAlignment="1">
      <alignment horizontal="center"/>
    </xf>
    <xf numFmtId="39" fontId="16" fillId="22" borderId="97" xfId="42" applyNumberFormat="1" applyFont="1" applyFill="1" applyBorder="1" applyAlignment="1">
      <alignment horizontal="center"/>
    </xf>
    <xf numFmtId="0" fontId="61" fillId="4" borderId="14" xfId="0" applyFont="1" applyFill="1" applyBorder="1" applyAlignment="1">
      <alignment horizontal="center" vertical="center" wrapText="1"/>
    </xf>
    <xf numFmtId="167" fontId="21" fillId="4" borderId="14" xfId="0" applyNumberFormat="1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53" fillId="22" borderId="12" xfId="0" applyFont="1" applyFill="1" applyBorder="1" applyAlignment="1">
      <alignment horizontal="center" vertical="center" wrapText="1"/>
    </xf>
    <xf numFmtId="0" fontId="53" fillId="4" borderId="31" xfId="0" applyFont="1" applyFill="1" applyBorder="1" applyAlignment="1">
      <alignment horizontal="center" vertical="center" wrapText="1"/>
    </xf>
    <xf numFmtId="6" fontId="0" fillId="22" borderId="0" xfId="42" applyNumberFormat="1" applyFont="1" applyFill="1" applyBorder="1" applyAlignment="1" applyProtection="1">
      <alignment/>
      <protection/>
    </xf>
    <xf numFmtId="6" fontId="0" fillId="22" borderId="73" xfId="42" applyNumberFormat="1" applyFont="1" applyFill="1" applyBorder="1" applyAlignment="1" applyProtection="1">
      <alignment/>
      <protection/>
    </xf>
    <xf numFmtId="0" fontId="15" fillId="3" borderId="40" xfId="0" applyFont="1" applyFill="1" applyBorder="1" applyAlignment="1" applyProtection="1">
      <alignment horizontal="center"/>
      <protection/>
    </xf>
    <xf numFmtId="49" fontId="21" fillId="4" borderId="31" xfId="0" applyNumberFormat="1" applyFont="1" applyFill="1" applyBorder="1" applyAlignment="1">
      <alignment horizontal="center" vertical="center" wrapText="1"/>
    </xf>
    <xf numFmtId="38" fontId="21" fillId="4" borderId="31" xfId="0" applyNumberFormat="1" applyFont="1" applyFill="1" applyBorder="1" applyAlignment="1" quotePrefix="1">
      <alignment horizontal="center" vertical="center" wrapText="1"/>
    </xf>
    <xf numFmtId="2" fontId="15" fillId="22" borderId="31" xfId="0" applyNumberFormat="1" applyFont="1" applyFill="1" applyBorder="1" applyAlignment="1">
      <alignment horizontal="center" wrapText="1"/>
    </xf>
    <xf numFmtId="10" fontId="15" fillId="22" borderId="31" xfId="0" applyNumberFormat="1" applyFont="1" applyFill="1" applyBorder="1" applyAlignment="1">
      <alignment horizontal="center" wrapText="1"/>
    </xf>
    <xf numFmtId="0" fontId="36" fillId="4" borderId="11" xfId="0" applyFont="1" applyFill="1" applyBorder="1" applyAlignment="1">
      <alignment horizontal="center" vertical="center" wrapText="1"/>
    </xf>
    <xf numFmtId="9" fontId="15" fillId="22" borderId="31" xfId="0" applyNumberFormat="1" applyFont="1" applyFill="1" applyBorder="1" applyAlignment="1">
      <alignment horizontal="center" vertical="top" wrapText="1"/>
    </xf>
    <xf numFmtId="6" fontId="3" fillId="0" borderId="0" xfId="42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>
      <alignment horizontal="right"/>
    </xf>
    <xf numFmtId="0" fontId="21" fillId="0" borderId="87" xfId="0" applyFont="1" applyBorder="1" applyAlignment="1">
      <alignment horizontal="right"/>
    </xf>
    <xf numFmtId="5" fontId="21" fillId="0" borderId="98" xfId="45" applyNumberFormat="1" applyFont="1" applyBorder="1" applyAlignment="1">
      <alignment horizontal="right"/>
    </xf>
    <xf numFmtId="10" fontId="21" fillId="0" borderId="98" xfId="62" applyNumberFormat="1" applyFont="1" applyBorder="1" applyAlignment="1">
      <alignment horizontal="right"/>
    </xf>
    <xf numFmtId="6" fontId="21" fillId="0" borderId="13" xfId="45" applyNumberFormat="1" applyFont="1" applyBorder="1" applyAlignment="1">
      <alignment horizontal="right"/>
    </xf>
    <xf numFmtId="2" fontId="21" fillId="0" borderId="98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43" fontId="21" fillId="0" borderId="13" xfId="42" applyNumberFormat="1" applyFont="1" applyBorder="1" applyAlignment="1">
      <alignment horizontal="right"/>
    </xf>
    <xf numFmtId="43" fontId="21" fillId="0" borderId="13" xfId="42" applyFont="1" applyBorder="1" applyAlignment="1">
      <alignment horizontal="right"/>
    </xf>
    <xf numFmtId="43" fontId="21" fillId="0" borderId="87" xfId="42" applyFont="1" applyBorder="1" applyAlignment="1">
      <alignment horizontal="right"/>
    </xf>
    <xf numFmtId="10" fontId="21" fillId="0" borderId="98" xfId="45" applyNumberFormat="1" applyFont="1" applyBorder="1" applyAlignment="1">
      <alignment horizontal="right"/>
    </xf>
    <xf numFmtId="10" fontId="21" fillId="0" borderId="13" xfId="0" applyNumberFormat="1" applyFont="1" applyBorder="1" applyAlignment="1">
      <alignment horizontal="right"/>
    </xf>
    <xf numFmtId="166" fontId="0" fillId="0" borderId="52" xfId="0" applyNumberFormat="1" applyFont="1" applyBorder="1" applyAlignment="1">
      <alignment/>
    </xf>
    <xf numFmtId="166" fontId="0" fillId="22" borderId="52" xfId="0" applyNumberFormat="1" applyFont="1" applyFill="1" applyBorder="1" applyAlignment="1">
      <alignment/>
    </xf>
    <xf numFmtId="10" fontId="0" fillId="0" borderId="52" xfId="0" applyNumberFormat="1" applyFont="1" applyBorder="1" applyAlignment="1">
      <alignment/>
    </xf>
    <xf numFmtId="6" fontId="0" fillId="0" borderId="52" xfId="45" applyNumberFormat="1" applyFont="1" applyBorder="1" applyAlignment="1">
      <alignment/>
    </xf>
    <xf numFmtId="166" fontId="0" fillId="22" borderId="12" xfId="0" applyNumberFormat="1" applyFont="1" applyFill="1" applyBorder="1" applyAlignment="1">
      <alignment/>
    </xf>
    <xf numFmtId="165" fontId="0" fillId="0" borderId="12" xfId="42" applyNumberFormat="1" applyFont="1" applyBorder="1" applyAlignment="1">
      <alignment/>
    </xf>
    <xf numFmtId="6" fontId="0" fillId="0" borderId="12" xfId="42" applyNumberFormat="1" applyFont="1" applyBorder="1" applyAlignment="1">
      <alignment/>
    </xf>
    <xf numFmtId="166" fontId="0" fillId="0" borderId="99" xfId="0" applyNumberFormat="1" applyFont="1" applyBorder="1" applyAlignment="1">
      <alignment/>
    </xf>
    <xf numFmtId="166" fontId="0" fillId="22" borderId="99" xfId="0" applyNumberFormat="1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99" xfId="0" applyNumberFormat="1" applyFont="1" applyBorder="1" applyAlignment="1">
      <alignment/>
    </xf>
    <xf numFmtId="6" fontId="0" fillId="0" borderId="99" xfId="45" applyNumberFormat="1" applyFont="1" applyBorder="1" applyAlignment="1">
      <alignment/>
    </xf>
    <xf numFmtId="166" fontId="0" fillId="22" borderId="14" xfId="0" applyNumberFormat="1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6" fontId="0" fillId="0" borderId="14" xfId="42" applyNumberFormat="1" applyFont="1" applyBorder="1" applyAlignment="1">
      <alignment/>
    </xf>
    <xf numFmtId="166" fontId="0" fillId="22" borderId="12" xfId="0" applyNumberFormat="1" applyFont="1" applyFill="1" applyBorder="1" applyAlignment="1">
      <alignment/>
    </xf>
    <xf numFmtId="6" fontId="3" fillId="0" borderId="100" xfId="0" applyNumberFormat="1" applyFont="1" applyBorder="1" applyAlignment="1">
      <alignment/>
    </xf>
    <xf numFmtId="6" fontId="3" fillId="0" borderId="13" xfId="0" applyNumberFormat="1" applyFont="1" applyBorder="1" applyAlignment="1">
      <alignment/>
    </xf>
    <xf numFmtId="6" fontId="3" fillId="22" borderId="13" xfId="0" applyNumberFormat="1" applyFont="1" applyFill="1" applyBorder="1" applyAlignment="1">
      <alignment/>
    </xf>
    <xf numFmtId="10" fontId="3" fillId="22" borderId="13" xfId="0" applyNumberFormat="1" applyFont="1" applyFill="1" applyBorder="1" applyAlignment="1">
      <alignment/>
    </xf>
    <xf numFmtId="10" fontId="3" fillId="22" borderId="98" xfId="0" applyNumberFormat="1" applyFont="1" applyFill="1" applyBorder="1" applyAlignment="1">
      <alignment/>
    </xf>
    <xf numFmtId="6" fontId="3" fillId="0" borderId="13" xfId="45" applyNumberFormat="1" applyFont="1" applyBorder="1" applyAlignment="1">
      <alignment/>
    </xf>
    <xf numFmtId="38" fontId="3" fillId="0" borderId="13" xfId="0" applyNumberFormat="1" applyFont="1" applyBorder="1" applyAlignment="1">
      <alignment/>
    </xf>
    <xf numFmtId="38" fontId="3" fillId="22" borderId="13" xfId="0" applyNumberFormat="1" applyFont="1" applyFill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98" xfId="0" applyNumberFormat="1" applyFont="1" applyBorder="1" applyAlignment="1">
      <alignment/>
    </xf>
    <xf numFmtId="166" fontId="3" fillId="22" borderId="13" xfId="0" applyNumberFormat="1" applyFont="1" applyFill="1" applyBorder="1" applyAlignment="1">
      <alignment/>
    </xf>
    <xf numFmtId="10" fontId="3" fillId="0" borderId="98" xfId="62" applyNumberFormat="1" applyFont="1" applyBorder="1" applyAlignment="1">
      <alignment/>
    </xf>
    <xf numFmtId="166" fontId="0" fillId="0" borderId="0" xfId="0" applyNumberFormat="1" applyFont="1" applyAlignment="1">
      <alignment/>
    </xf>
    <xf numFmtId="5" fontId="0" fillId="0" borderId="101" xfId="0" applyNumberFormat="1" applyFont="1" applyFill="1" applyBorder="1" applyAlignment="1" applyProtection="1">
      <alignment/>
      <protection/>
    </xf>
    <xf numFmtId="5" fontId="0" fillId="0" borderId="102" xfId="0" applyNumberFormat="1" applyFont="1" applyFill="1" applyBorder="1" applyAlignment="1" applyProtection="1">
      <alignment/>
      <protection/>
    </xf>
    <xf numFmtId="5" fontId="0" fillId="0" borderId="103" xfId="0" applyNumberFormat="1" applyFont="1" applyFill="1" applyBorder="1" applyAlignment="1" applyProtection="1">
      <alignment/>
      <protection/>
    </xf>
    <xf numFmtId="6" fontId="3" fillId="0" borderId="76" xfId="0" applyNumberFormat="1" applyFont="1" applyFill="1" applyBorder="1" applyAlignment="1" applyProtection="1">
      <alignment/>
      <protection/>
    </xf>
    <xf numFmtId="6" fontId="3" fillId="0" borderId="74" xfId="0" applyNumberFormat="1" applyFont="1" applyFill="1" applyBorder="1" applyAlignment="1" applyProtection="1">
      <alignment/>
      <protection/>
    </xf>
    <xf numFmtId="6" fontId="3" fillId="0" borderId="75" xfId="0" applyNumberFormat="1" applyFont="1" applyFill="1" applyBorder="1" applyAlignment="1" applyProtection="1">
      <alignment/>
      <protection/>
    </xf>
    <xf numFmtId="0" fontId="15" fillId="3" borderId="102" xfId="0" applyFont="1" applyFill="1" applyBorder="1" applyAlignment="1" applyProtection="1">
      <alignment horizontal="center"/>
      <protection/>
    </xf>
    <xf numFmtId="0" fontId="3" fillId="3" borderId="9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80" xfId="0" applyFont="1" applyFill="1" applyBorder="1" applyAlignment="1" applyProtection="1">
      <alignment/>
      <protection/>
    </xf>
    <xf numFmtId="0" fontId="0" fillId="0" borderId="79" xfId="0" applyFont="1" applyFill="1" applyBorder="1" applyAlignment="1" applyProtection="1">
      <alignment/>
      <protection/>
    </xf>
    <xf numFmtId="5" fontId="0" fillId="0" borderId="104" xfId="0" applyNumberFormat="1" applyFont="1" applyFill="1" applyBorder="1" applyAlignment="1" applyProtection="1">
      <alignment/>
      <protection/>
    </xf>
    <xf numFmtId="166" fontId="0" fillId="0" borderId="77" xfId="42" applyNumberFormat="1" applyFont="1" applyFill="1" applyBorder="1" applyAlignment="1" applyProtection="1">
      <alignment/>
      <protection/>
    </xf>
    <xf numFmtId="5" fontId="0" fillId="0" borderId="105" xfId="0" applyNumberFormat="1" applyFont="1" applyFill="1" applyBorder="1" applyAlignment="1" applyProtection="1">
      <alignment/>
      <protection/>
    </xf>
    <xf numFmtId="166" fontId="0" fillId="0" borderId="52" xfId="42" applyNumberFormat="1" applyFont="1" applyFill="1" applyBorder="1" applyAlignment="1" applyProtection="1">
      <alignment/>
      <protection/>
    </xf>
    <xf numFmtId="5" fontId="0" fillId="0" borderId="106" xfId="0" applyNumberFormat="1" applyFont="1" applyFill="1" applyBorder="1" applyAlignment="1" applyProtection="1">
      <alignment/>
      <protection/>
    </xf>
    <xf numFmtId="166" fontId="0" fillId="0" borderId="78" xfId="42" applyNumberFormat="1" applyFont="1" applyFill="1" applyBorder="1" applyAlignment="1" applyProtection="1">
      <alignment/>
      <protection/>
    </xf>
    <xf numFmtId="165" fontId="0" fillId="0" borderId="54" xfId="42" applyNumberFormat="1" applyFont="1" applyFill="1" applyBorder="1" applyAlignment="1" applyProtection="1">
      <alignment horizontal="center"/>
      <protection/>
    </xf>
    <xf numFmtId="165" fontId="0" fillId="0" borderId="54" xfId="42" applyNumberFormat="1" applyFont="1" applyFill="1" applyBorder="1" applyAlignment="1" applyProtection="1">
      <alignment/>
      <protection/>
    </xf>
    <xf numFmtId="165" fontId="0" fillId="0" borderId="10" xfId="42" applyNumberFormat="1" applyFont="1" applyFill="1" applyBorder="1" applyAlignment="1" applyProtection="1">
      <alignment horizontal="center"/>
      <protection/>
    </xf>
    <xf numFmtId="165" fontId="0" fillId="0" borderId="10" xfId="42" applyNumberFormat="1" applyFont="1" applyFill="1" applyBorder="1" applyAlignment="1" applyProtection="1">
      <alignment/>
      <protection/>
    </xf>
    <xf numFmtId="165" fontId="0" fillId="0" borderId="40" xfId="42" applyNumberFormat="1" applyFont="1" applyFill="1" applyBorder="1" applyAlignment="1" applyProtection="1">
      <alignment horizontal="center"/>
      <protection/>
    </xf>
    <xf numFmtId="165" fontId="0" fillId="0" borderId="40" xfId="42" applyNumberFormat="1" applyFont="1" applyFill="1" applyBorder="1" applyAlignment="1" applyProtection="1">
      <alignment/>
      <protection/>
    </xf>
    <xf numFmtId="5" fontId="0" fillId="3" borderId="54" xfId="0" applyNumberFormat="1" applyFont="1" applyFill="1" applyBorder="1" applyAlignment="1" applyProtection="1">
      <alignment/>
      <protection/>
    </xf>
    <xf numFmtId="5" fontId="0" fillId="3" borderId="10" xfId="0" applyNumberFormat="1" applyFont="1" applyFill="1" applyBorder="1" applyAlignment="1" applyProtection="1">
      <alignment/>
      <protection/>
    </xf>
    <xf numFmtId="165" fontId="0" fillId="0" borderId="107" xfId="42" applyNumberFormat="1" applyFont="1" applyFill="1" applyBorder="1" applyAlignment="1" applyProtection="1">
      <alignment/>
      <protection/>
    </xf>
    <xf numFmtId="5" fontId="0" fillId="3" borderId="40" xfId="0" applyNumberFormat="1" applyFont="1" applyFill="1" applyBorder="1" applyAlignment="1" applyProtection="1">
      <alignment/>
      <protection/>
    </xf>
    <xf numFmtId="5" fontId="0" fillId="3" borderId="107" xfId="0" applyNumberFormat="1" applyFont="1" applyFill="1" applyBorder="1" applyAlignment="1" applyProtection="1">
      <alignment/>
      <protection/>
    </xf>
    <xf numFmtId="5" fontId="0" fillId="3" borderId="10" xfId="0" applyNumberFormat="1" applyFont="1" applyFill="1" applyBorder="1" applyAlignment="1" applyProtection="1">
      <alignment horizontal="right"/>
      <protection/>
    </xf>
    <xf numFmtId="10" fontId="0" fillId="22" borderId="12" xfId="62" applyNumberFormat="1" applyFont="1" applyFill="1" applyBorder="1" applyAlignment="1">
      <alignment/>
    </xf>
    <xf numFmtId="10" fontId="0" fillId="22" borderId="14" xfId="62" applyNumberFormat="1" applyFont="1" applyFill="1" applyBorder="1" applyAlignment="1">
      <alignment/>
    </xf>
    <xf numFmtId="10" fontId="0" fillId="22" borderId="12" xfId="0" applyNumberFormat="1" applyFont="1" applyFill="1" applyBorder="1" applyAlignment="1">
      <alignment/>
    </xf>
    <xf numFmtId="5" fontId="21" fillId="0" borderId="13" xfId="45" applyNumberFormat="1" applyFont="1" applyFill="1" applyBorder="1" applyAlignment="1">
      <alignment horizontal="right"/>
    </xf>
    <xf numFmtId="0" fontId="3" fillId="0" borderId="108" xfId="0" applyFont="1" applyFill="1" applyBorder="1" applyAlignment="1" applyProtection="1">
      <alignment/>
      <protection/>
    </xf>
    <xf numFmtId="0" fontId="21" fillId="0" borderId="109" xfId="0" applyFont="1" applyFill="1" applyBorder="1" applyAlignment="1" applyProtection="1">
      <alignment horizontal="center"/>
      <protection/>
    </xf>
    <xf numFmtId="6" fontId="21" fillId="0" borderId="110" xfId="42" applyNumberFormat="1" applyFont="1" applyFill="1" applyBorder="1" applyAlignment="1" applyProtection="1">
      <alignment/>
      <protection/>
    </xf>
    <xf numFmtId="6" fontId="21" fillId="0" borderId="110" xfId="0" applyNumberFormat="1" applyFont="1" applyBorder="1" applyAlignment="1">
      <alignment/>
    </xf>
    <xf numFmtId="165" fontId="21" fillId="0" borderId="110" xfId="42" applyNumberFormat="1" applyFont="1" applyFill="1" applyBorder="1" applyAlignment="1" applyProtection="1">
      <alignment/>
      <protection/>
    </xf>
    <xf numFmtId="6" fontId="21" fillId="0" borderId="13" xfId="42" applyNumberFormat="1" applyFont="1" applyFill="1" applyBorder="1" applyAlignment="1" applyProtection="1">
      <alignment/>
      <protection/>
    </xf>
    <xf numFmtId="38" fontId="21" fillId="0" borderId="13" xfId="42" applyNumberFormat="1" applyFont="1" applyFill="1" applyBorder="1" applyAlignment="1" applyProtection="1">
      <alignment/>
      <protection/>
    </xf>
    <xf numFmtId="5" fontId="21" fillId="0" borderId="110" xfId="0" applyNumberFormat="1" applyFont="1" applyFill="1" applyBorder="1" applyAlignment="1" applyProtection="1">
      <alignment/>
      <protection/>
    </xf>
    <xf numFmtId="38" fontId="21" fillId="0" borderId="13" xfId="0" applyNumberFormat="1" applyFont="1" applyFill="1" applyBorder="1" applyAlignment="1" applyProtection="1">
      <alignment/>
      <protection/>
    </xf>
    <xf numFmtId="6" fontId="21" fillId="22" borderId="111" xfId="4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10" xfId="0" applyFont="1" applyFill="1" applyBorder="1" applyAlignment="1">
      <alignment horizontal="center"/>
    </xf>
    <xf numFmtId="0" fontId="21" fillId="0" borderId="112" xfId="0" applyFont="1" applyFill="1" applyBorder="1" applyAlignment="1" applyProtection="1">
      <alignment horizontal="center"/>
      <protection/>
    </xf>
    <xf numFmtId="5" fontId="21" fillId="0" borderId="113" xfId="0" applyNumberFormat="1" applyFont="1" applyFill="1" applyBorder="1" applyAlignment="1" applyProtection="1">
      <alignment/>
      <protection/>
    </xf>
    <xf numFmtId="5" fontId="21" fillId="0" borderId="114" xfId="0" applyNumberFormat="1" applyFont="1" applyFill="1" applyBorder="1" applyAlignment="1" applyProtection="1">
      <alignment/>
      <protection/>
    </xf>
    <xf numFmtId="165" fontId="3" fillId="0" borderId="114" xfId="42" applyNumberFormat="1" applyFont="1" applyFill="1" applyBorder="1" applyAlignment="1" applyProtection="1">
      <alignment/>
      <protection/>
    </xf>
    <xf numFmtId="5" fontId="3" fillId="3" borderId="114" xfId="0" applyNumberFormat="1" applyFont="1" applyFill="1" applyBorder="1" applyAlignment="1" applyProtection="1">
      <alignment/>
      <protection/>
    </xf>
    <xf numFmtId="5" fontId="21" fillId="3" borderId="115" xfId="0" applyNumberFormat="1" applyFont="1" applyFill="1" applyBorder="1" applyAlignment="1" applyProtection="1">
      <alignment/>
      <protection/>
    </xf>
    <xf numFmtId="5" fontId="21" fillId="0" borderId="116" xfId="0" applyNumberFormat="1" applyFont="1" applyFill="1" applyBorder="1" applyAlignment="1" applyProtection="1">
      <alignment/>
      <protection/>
    </xf>
    <xf numFmtId="6" fontId="21" fillId="0" borderId="114" xfId="0" applyNumberFormat="1" applyFont="1" applyFill="1" applyBorder="1" applyAlignment="1" applyProtection="1">
      <alignment/>
      <protection/>
    </xf>
    <xf numFmtId="165" fontId="21" fillId="0" borderId="114" xfId="42" applyNumberFormat="1" applyFont="1" applyFill="1" applyBorder="1" applyAlignment="1" applyProtection="1">
      <alignment/>
      <protection/>
    </xf>
    <xf numFmtId="6" fontId="21" fillId="0" borderId="117" xfId="42" applyNumberFormat="1" applyFont="1" applyFill="1" applyBorder="1" applyAlignment="1" applyProtection="1">
      <alignment/>
      <protection/>
    </xf>
    <xf numFmtId="5" fontId="21" fillId="0" borderId="115" xfId="0" applyNumberFormat="1" applyFont="1" applyFill="1" applyBorder="1" applyAlignment="1" applyProtection="1">
      <alignment/>
      <protection/>
    </xf>
    <xf numFmtId="165" fontId="21" fillId="0" borderId="118" xfId="42" applyNumberFormat="1" applyFont="1" applyFill="1" applyBorder="1" applyAlignment="1" applyProtection="1">
      <alignment/>
      <protection/>
    </xf>
    <xf numFmtId="166" fontId="21" fillId="0" borderId="118" xfId="42" applyNumberFormat="1" applyFont="1" applyFill="1" applyBorder="1" applyAlignment="1" applyProtection="1">
      <alignment/>
      <protection/>
    </xf>
    <xf numFmtId="6" fontId="21" fillId="0" borderId="111" xfId="42" applyNumberFormat="1" applyFont="1" applyFill="1" applyBorder="1" applyAlignment="1" applyProtection="1">
      <alignment/>
      <protection/>
    </xf>
    <xf numFmtId="0" fontId="15" fillId="3" borderId="75" xfId="0" applyFont="1" applyFill="1" applyBorder="1" applyAlignment="1" applyProtection="1">
      <alignment horizontal="center"/>
      <protection/>
    </xf>
    <xf numFmtId="165" fontId="0" fillId="0" borderId="76" xfId="42" applyNumberFormat="1" applyFont="1" applyFill="1" applyBorder="1" applyAlignment="1" applyProtection="1">
      <alignment/>
      <protection/>
    </xf>
    <xf numFmtId="165" fontId="0" fillId="0" borderId="74" xfId="42" applyNumberFormat="1" applyFont="1" applyFill="1" applyBorder="1" applyAlignment="1" applyProtection="1">
      <alignment/>
      <protection/>
    </xf>
    <xf numFmtId="165" fontId="0" fillId="0" borderId="75" xfId="42" applyNumberFormat="1" applyFont="1" applyFill="1" applyBorder="1" applyAlignment="1" applyProtection="1">
      <alignment/>
      <protection/>
    </xf>
    <xf numFmtId="165" fontId="21" fillId="0" borderId="116" xfId="42" applyNumberFormat="1" applyFont="1" applyFill="1" applyBorder="1" applyAlignment="1" applyProtection="1">
      <alignment/>
      <protection/>
    </xf>
    <xf numFmtId="0" fontId="0" fillId="27" borderId="0" xfId="0" applyFill="1" applyAlignment="1">
      <alignment/>
    </xf>
    <xf numFmtId="6" fontId="42" fillId="0" borderId="80" xfId="0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>
      <alignment horizontal="left" wrapText="1"/>
    </xf>
    <xf numFmtId="5" fontId="3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6" fontId="0" fillId="0" borderId="95" xfId="0" applyNumberFormat="1" applyFont="1" applyFill="1" applyBorder="1" applyAlignment="1">
      <alignment/>
    </xf>
    <xf numFmtId="6" fontId="0" fillId="0" borderId="0" xfId="42" applyNumberFormat="1" applyFont="1" applyBorder="1" applyAlignment="1">
      <alignment/>
    </xf>
    <xf numFmtId="39" fontId="6" fillId="0" borderId="23" xfId="0" applyNumberFormat="1" applyFont="1" applyFill="1" applyBorder="1" applyAlignment="1" applyProtection="1">
      <alignment horizontal="right"/>
      <protection/>
    </xf>
    <xf numFmtId="10" fontId="6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5" fontId="23" fillId="27" borderId="0" xfId="0" applyNumberFormat="1" applyFont="1" applyFill="1" applyBorder="1" applyAlignment="1" applyProtection="1">
      <alignment/>
      <protection/>
    </xf>
    <xf numFmtId="6" fontId="0" fillId="0" borderId="14" xfId="45" applyNumberFormat="1" applyFont="1" applyFill="1" applyBorder="1" applyAlignment="1">
      <alignment/>
    </xf>
    <xf numFmtId="10" fontId="0" fillId="0" borderId="42" xfId="62" applyNumberFormat="1" applyFont="1" applyFill="1" applyBorder="1" applyAlignment="1">
      <alignment/>
    </xf>
    <xf numFmtId="0" fontId="21" fillId="22" borderId="14" xfId="0" applyFont="1" applyFill="1" applyBorder="1" applyAlignment="1">
      <alignment horizontal="center" vertical="center" wrapText="1"/>
    </xf>
    <xf numFmtId="6" fontId="0" fillId="22" borderId="119" xfId="42" applyNumberFormat="1" applyFont="1" applyFill="1" applyBorder="1" applyAlignment="1" applyProtection="1">
      <alignment/>
      <protection/>
    </xf>
    <xf numFmtId="170" fontId="49" fillId="0" borderId="0" xfId="62" applyNumberFormat="1" applyFont="1" applyFill="1" applyBorder="1" applyAlignment="1">
      <alignment/>
    </xf>
    <xf numFmtId="170" fontId="0" fillId="0" borderId="0" xfId="62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/>
    </xf>
    <xf numFmtId="0" fontId="30" fillId="0" borderId="0" xfId="0" applyFont="1" applyFill="1" applyAlignment="1" quotePrefix="1">
      <alignment horizontal="center" wrapText="1"/>
    </xf>
    <xf numFmtId="0" fontId="45" fillId="0" borderId="31" xfId="0" applyFont="1" applyBorder="1" applyAlignment="1">
      <alignment horizontal="left" wrapText="1"/>
    </xf>
    <xf numFmtId="3" fontId="57" fillId="0" borderId="14" xfId="0" applyNumberFormat="1" applyFont="1" applyFill="1" applyBorder="1" applyAlignment="1">
      <alignment/>
    </xf>
    <xf numFmtId="6" fontId="57" fillId="0" borderId="14" xfId="0" applyNumberFormat="1" applyFont="1" applyBorder="1" applyAlignment="1">
      <alignment/>
    </xf>
    <xf numFmtId="165" fontId="57" fillId="0" borderId="14" xfId="42" applyNumberFormat="1" applyFont="1" applyBorder="1" applyAlignment="1">
      <alignment/>
    </xf>
    <xf numFmtId="165" fontId="57" fillId="0" borderId="14" xfId="0" applyNumberFormat="1" applyFont="1" applyBorder="1" applyAlignment="1">
      <alignment/>
    </xf>
    <xf numFmtId="6" fontId="57" fillId="0" borderId="31" xfId="0" applyNumberFormat="1" applyFont="1" applyBorder="1" applyAlignment="1">
      <alignment/>
    </xf>
    <xf numFmtId="6" fontId="57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wrapText="1"/>
    </xf>
    <xf numFmtId="3" fontId="57" fillId="0" borderId="14" xfId="0" applyNumberFormat="1" applyFont="1" applyFill="1" applyBorder="1" applyAlignment="1">
      <alignment/>
    </xf>
    <xf numFmtId="0" fontId="68" fillId="0" borderId="31" xfId="0" applyFont="1" applyFill="1" applyBorder="1" applyAlignment="1">
      <alignment horizontal="left" wrapText="1"/>
    </xf>
    <xf numFmtId="38" fontId="68" fillId="0" borderId="31" xfId="0" applyNumberFormat="1" applyFont="1" applyFill="1" applyBorder="1" applyAlignment="1">
      <alignment wrapText="1"/>
    </xf>
    <xf numFmtId="165" fontId="57" fillId="0" borderId="31" xfId="42" applyNumberFormat="1" applyFont="1" applyBorder="1" applyAlignment="1">
      <alignment/>
    </xf>
    <xf numFmtId="3" fontId="57" fillId="0" borderId="31" xfId="0" applyNumberFormat="1" applyFont="1" applyFill="1" applyBorder="1" applyAlignment="1">
      <alignment/>
    </xf>
    <xf numFmtId="6" fontId="15" fillId="0" borderId="0" xfId="0" applyNumberFormat="1" applyFont="1" applyAlignment="1">
      <alignment horizontal="right"/>
    </xf>
    <xf numFmtId="0" fontId="13" fillId="22" borderId="62" xfId="0" applyFont="1" applyFill="1" applyBorder="1" applyAlignment="1">
      <alignment horizontal="center" vertical="center" wrapText="1"/>
    </xf>
    <xf numFmtId="5" fontId="13" fillId="22" borderId="94" xfId="0" applyNumberFormat="1" applyFont="1" applyFill="1" applyBorder="1" applyAlignment="1" applyProtection="1">
      <alignment vertical="center"/>
      <protection/>
    </xf>
    <xf numFmtId="0" fontId="45" fillId="0" borderId="43" xfId="0" applyFont="1" applyBorder="1" applyAlignment="1">
      <alignment horizontal="right" wrapText="1"/>
    </xf>
    <xf numFmtId="0" fontId="57" fillId="0" borderId="31" xfId="0" applyFont="1" applyBorder="1" applyAlignment="1">
      <alignment horizontal="left" wrapText="1"/>
    </xf>
    <xf numFmtId="0" fontId="57" fillId="0" borderId="43" xfId="0" applyFont="1" applyBorder="1" applyAlignment="1">
      <alignment horizontal="left" wrapText="1"/>
    </xf>
    <xf numFmtId="166" fontId="16" fillId="0" borderId="15" xfId="42" applyNumberFormat="1" applyFont="1" applyFill="1" applyBorder="1" applyAlignment="1">
      <alignment horizontal="center"/>
    </xf>
    <xf numFmtId="6" fontId="3" fillId="0" borderId="120" xfId="0" applyNumberFormat="1" applyFont="1" applyFill="1" applyBorder="1" applyAlignment="1" applyProtection="1">
      <alignment/>
      <protection/>
    </xf>
    <xf numFmtId="5" fontId="0" fillId="0" borderId="72" xfId="0" applyNumberFormat="1" applyFont="1" applyFill="1" applyBorder="1" applyAlignment="1" applyProtection="1">
      <alignment/>
      <protection/>
    </xf>
    <xf numFmtId="6" fontId="0" fillId="0" borderId="107" xfId="0" applyNumberFormat="1" applyFont="1" applyFill="1" applyBorder="1" applyAlignment="1" applyProtection="1">
      <alignment/>
      <protection/>
    </xf>
    <xf numFmtId="165" fontId="0" fillId="0" borderId="120" xfId="42" applyNumberFormat="1" applyFont="1" applyFill="1" applyBorder="1" applyAlignment="1" applyProtection="1">
      <alignment/>
      <protection/>
    </xf>
    <xf numFmtId="5" fontId="0" fillId="0" borderId="107" xfId="0" applyNumberFormat="1" applyFont="1" applyFill="1" applyBorder="1" applyAlignment="1" applyProtection="1">
      <alignment/>
      <protection/>
    </xf>
    <xf numFmtId="165" fontId="0" fillId="0" borderId="91" xfId="42" applyNumberFormat="1" applyFont="1" applyFill="1" applyBorder="1" applyAlignment="1" applyProtection="1">
      <alignment/>
      <protection/>
    </xf>
    <xf numFmtId="5" fontId="0" fillId="0" borderId="120" xfId="0" applyNumberFormat="1" applyFont="1" applyFill="1" applyBorder="1" applyAlignment="1" applyProtection="1">
      <alignment/>
      <protection/>
    </xf>
    <xf numFmtId="6" fontId="0" fillId="0" borderId="91" xfId="42" applyNumberFormat="1" applyFont="1" applyFill="1" applyBorder="1" applyAlignment="1" applyProtection="1">
      <alignment/>
      <protection/>
    </xf>
    <xf numFmtId="165" fontId="0" fillId="0" borderId="107" xfId="42" applyNumberFormat="1" applyFont="1" applyFill="1" applyBorder="1" applyAlignment="1" applyProtection="1">
      <alignment horizontal="center"/>
      <protection/>
    </xf>
    <xf numFmtId="165" fontId="0" fillId="0" borderId="99" xfId="42" applyNumberFormat="1" applyFont="1" applyFill="1" applyBorder="1" applyAlignment="1" applyProtection="1">
      <alignment/>
      <protection/>
    </xf>
    <xf numFmtId="6" fontId="0" fillId="0" borderId="54" xfId="42" applyNumberFormat="1" applyFont="1" applyFill="1" applyBorder="1" applyAlignment="1" applyProtection="1">
      <alignment/>
      <protection/>
    </xf>
    <xf numFmtId="6" fontId="0" fillId="0" borderId="10" xfId="42" applyNumberFormat="1" applyFont="1" applyFill="1" applyBorder="1" applyAlignment="1" applyProtection="1">
      <alignment/>
      <protection/>
    </xf>
    <xf numFmtId="6" fontId="0" fillId="0" borderId="40" xfId="42" applyNumberFormat="1" applyFont="1" applyFill="1" applyBorder="1" applyAlignment="1" applyProtection="1">
      <alignment/>
      <protection/>
    </xf>
    <xf numFmtId="6" fontId="0" fillId="0" borderId="107" xfId="42" applyNumberFormat="1" applyFont="1" applyFill="1" applyBorder="1" applyAlignment="1" applyProtection="1">
      <alignment/>
      <protection/>
    </xf>
    <xf numFmtId="6" fontId="3" fillId="0" borderId="42" xfId="0" applyNumberFormat="1" applyFont="1" applyFill="1" applyBorder="1" applyAlignment="1" applyProtection="1">
      <alignment/>
      <protection/>
    </xf>
    <xf numFmtId="3" fontId="57" fillId="0" borderId="14" xfId="0" applyNumberFormat="1" applyFont="1" applyFill="1" applyBorder="1" applyAlignment="1">
      <alignment horizontal="right"/>
    </xf>
    <xf numFmtId="6" fontId="57" fillId="0" borderId="14" xfId="0" applyNumberFormat="1" applyFont="1" applyBorder="1" applyAlignment="1">
      <alignment horizontal="right"/>
    </xf>
    <xf numFmtId="6" fontId="57" fillId="0" borderId="31" xfId="0" applyNumberFormat="1" applyFont="1" applyBorder="1" applyAlignment="1">
      <alignment horizontal="right"/>
    </xf>
    <xf numFmtId="1" fontId="15" fillId="0" borderId="0" xfId="0" applyNumberFormat="1" applyFont="1" applyFill="1" applyBorder="1" applyAlignment="1" quotePrefix="1">
      <alignment horizontal="right"/>
    </xf>
    <xf numFmtId="6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6" fontId="57" fillId="0" borderId="31" xfId="0" applyNumberFormat="1" applyFont="1" applyFill="1" applyBorder="1" applyAlignment="1">
      <alignment/>
    </xf>
    <xf numFmtId="5" fontId="44" fillId="0" borderId="12" xfId="0" applyNumberFormat="1" applyFont="1" applyFill="1" applyBorder="1" applyAlignment="1" applyProtection="1">
      <alignment/>
      <protection/>
    </xf>
    <xf numFmtId="165" fontId="21" fillId="0" borderId="13" xfId="42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21" fillId="0" borderId="13" xfId="0" applyNumberFormat="1" applyFont="1" applyBorder="1" applyAlignment="1">
      <alignment/>
    </xf>
    <xf numFmtId="0" fontId="4" fillId="0" borderId="121" xfId="0" applyFont="1" applyFill="1" applyBorder="1" applyAlignment="1" quotePrefix="1">
      <alignment horizontal="center"/>
    </xf>
    <xf numFmtId="0" fontId="4" fillId="0" borderId="121" xfId="0" applyFont="1" applyFill="1" applyBorder="1" applyAlignment="1">
      <alignment horizontal="left"/>
    </xf>
    <xf numFmtId="5" fontId="6" fillId="0" borderId="122" xfId="0" applyNumberFormat="1" applyFont="1" applyFill="1" applyBorder="1" applyAlignment="1" applyProtection="1">
      <alignment/>
      <protection/>
    </xf>
    <xf numFmtId="5" fontId="6" fillId="0" borderId="68" xfId="0" applyNumberFormat="1" applyFont="1" applyFill="1" applyBorder="1" applyAlignment="1" applyProtection="1">
      <alignment/>
      <protection/>
    </xf>
    <xf numFmtId="0" fontId="4" fillId="0" borderId="123" xfId="0" applyFont="1" applyFill="1" applyBorder="1" applyAlignment="1" quotePrefix="1">
      <alignment horizontal="center"/>
    </xf>
    <xf numFmtId="0" fontId="4" fillId="0" borderId="123" xfId="0" applyFont="1" applyFill="1" applyBorder="1" applyAlignment="1">
      <alignment horizontal="left"/>
    </xf>
    <xf numFmtId="5" fontId="6" fillId="0" borderId="124" xfId="0" applyNumberFormat="1" applyFont="1" applyFill="1" applyBorder="1" applyAlignment="1" applyProtection="1">
      <alignment/>
      <protection/>
    </xf>
    <xf numFmtId="0" fontId="49" fillId="0" borderId="0" xfId="0" applyFont="1" applyAlignment="1">
      <alignment horizontal="center"/>
    </xf>
    <xf numFmtId="170" fontId="49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21" fillId="4" borderId="11" xfId="0" applyFont="1" applyFill="1" applyBorder="1" applyAlignment="1" applyProtection="1">
      <alignment horizontal="center" vertical="center" wrapText="1"/>
      <protection/>
    </xf>
    <xf numFmtId="0" fontId="21" fillId="4" borderId="11" xfId="0" applyFont="1" applyFill="1" applyBorder="1" applyAlignment="1" applyProtection="1">
      <alignment vertical="center" wrapText="1"/>
      <protection/>
    </xf>
    <xf numFmtId="0" fontId="21" fillId="4" borderId="14" xfId="0" applyFont="1" applyFill="1" applyBorder="1" applyAlignment="1" applyProtection="1">
      <alignment vertical="center"/>
      <protection/>
    </xf>
    <xf numFmtId="166" fontId="15" fillId="22" borderId="31" xfId="0" applyNumberFormat="1" applyFont="1" applyFill="1" applyBorder="1" applyAlignment="1">
      <alignment horizontal="center" wrapText="1"/>
    </xf>
    <xf numFmtId="0" fontId="21" fillId="25" borderId="11" xfId="0" applyFont="1" applyFill="1" applyBorder="1" applyAlignment="1">
      <alignment horizontal="center" vertical="center" wrapText="1"/>
    </xf>
    <xf numFmtId="166" fontId="15" fillId="25" borderId="3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left"/>
    </xf>
    <xf numFmtId="5" fontId="3" fillId="4" borderId="12" xfId="0" applyNumberFormat="1" applyFont="1" applyFill="1" applyBorder="1" applyAlignment="1" applyProtection="1">
      <alignment/>
      <protection/>
    </xf>
    <xf numFmtId="5" fontId="3" fillId="4" borderId="80" xfId="0" applyNumberFormat="1" applyFont="1" applyFill="1" applyBorder="1" applyAlignment="1" applyProtection="1">
      <alignment/>
      <protection/>
    </xf>
    <xf numFmtId="5" fontId="3" fillId="4" borderId="79" xfId="0" applyNumberFormat="1" applyFont="1" applyFill="1" applyBorder="1" applyAlignment="1" applyProtection="1">
      <alignment/>
      <protection/>
    </xf>
    <xf numFmtId="9" fontId="16" fillId="0" borderId="125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5" fontId="6" fillId="0" borderId="47" xfId="0" applyNumberFormat="1" applyFont="1" applyFill="1" applyBorder="1" applyAlignment="1" applyProtection="1">
      <alignment vertical="center"/>
      <protection/>
    </xf>
    <xf numFmtId="5" fontId="6" fillId="0" borderId="27" xfId="0" applyNumberFormat="1" applyFont="1" applyFill="1" applyBorder="1" applyAlignment="1" applyProtection="1">
      <alignment vertical="center"/>
      <protection/>
    </xf>
    <xf numFmtId="3" fontId="57" fillId="0" borderId="43" xfId="0" applyNumberFormat="1" applyFont="1" applyFill="1" applyBorder="1" applyAlignment="1">
      <alignment horizontal="right"/>
    </xf>
    <xf numFmtId="6" fontId="57" fillId="0" borderId="43" xfId="0" applyNumberFormat="1" applyFont="1" applyBorder="1" applyAlignment="1">
      <alignment horizontal="right"/>
    </xf>
    <xf numFmtId="0" fontId="17" fillId="0" borderId="59" xfId="0" applyFont="1" applyFill="1" applyBorder="1" applyAlignment="1" quotePrefix="1">
      <alignment horizontal="center"/>
    </xf>
    <xf numFmtId="5" fontId="17" fillId="0" borderId="42" xfId="0" applyNumberFormat="1" applyFont="1" applyFill="1" applyBorder="1" applyAlignment="1" applyProtection="1">
      <alignment/>
      <protection/>
    </xf>
    <xf numFmtId="5" fontId="17" fillId="0" borderId="12" xfId="0" applyNumberFormat="1" applyFont="1" applyFill="1" applyBorder="1" applyAlignment="1" applyProtection="1">
      <alignment/>
      <protection/>
    </xf>
    <xf numFmtId="5" fontId="17" fillId="0" borderId="126" xfId="0" applyNumberFormat="1" applyFont="1" applyFill="1" applyBorder="1" applyAlignment="1" applyProtection="1">
      <alignment vertical="center"/>
      <protection/>
    </xf>
    <xf numFmtId="166" fontId="16" fillId="7" borderId="97" xfId="42" applyNumberFormat="1" applyFont="1" applyFill="1" applyBorder="1" applyAlignment="1">
      <alignment horizontal="center"/>
    </xf>
    <xf numFmtId="5" fontId="21" fillId="4" borderId="110" xfId="0" applyNumberFormat="1" applyFont="1" applyFill="1" applyBorder="1" applyAlignment="1" applyProtection="1">
      <alignment/>
      <protection/>
    </xf>
    <xf numFmtId="49" fontId="21" fillId="4" borderId="1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27" borderId="0" xfId="0" applyFill="1" applyBorder="1" applyAlignment="1">
      <alignment horizontal="center" wrapText="1"/>
    </xf>
    <xf numFmtId="0" fontId="0" fillId="27" borderId="0" xfId="0" applyFill="1" applyBorder="1" applyAlignment="1">
      <alignment/>
    </xf>
    <xf numFmtId="0" fontId="15" fillId="3" borderId="0" xfId="0" applyFont="1" applyFill="1" applyBorder="1" applyAlignment="1" applyProtection="1">
      <alignment horizontal="center"/>
      <protection/>
    </xf>
    <xf numFmtId="165" fontId="0" fillId="0" borderId="0" xfId="42" applyNumberFormat="1" applyFont="1" applyFill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/>
      <protection/>
    </xf>
    <xf numFmtId="166" fontId="21" fillId="22" borderId="14" xfId="0" applyNumberFormat="1" applyFont="1" applyFill="1" applyBorder="1" applyAlignment="1" quotePrefix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5" fontId="88" fillId="0" borderId="110" xfId="0" applyNumberFormat="1" applyFont="1" applyFill="1" applyBorder="1" applyAlignment="1" applyProtection="1">
      <alignment/>
      <protection/>
    </xf>
    <xf numFmtId="6" fontId="88" fillId="0" borderId="110" xfId="0" applyNumberFormat="1" applyFont="1" applyFill="1" applyBorder="1" applyAlignment="1" applyProtection="1">
      <alignment/>
      <protection/>
    </xf>
    <xf numFmtId="165" fontId="88" fillId="0" borderId="110" xfId="42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center" vertical="center" wrapText="1"/>
    </xf>
    <xf numFmtId="3" fontId="45" fillId="0" borderId="14" xfId="0" applyNumberFormat="1" applyFont="1" applyFill="1" applyBorder="1" applyAlignment="1">
      <alignment/>
    </xf>
    <xf numFmtId="6" fontId="45" fillId="0" borderId="14" xfId="0" applyNumberFormat="1" applyFont="1" applyBorder="1" applyAlignment="1">
      <alignment/>
    </xf>
    <xf numFmtId="6" fontId="45" fillId="0" borderId="31" xfId="0" applyNumberFormat="1" applyFont="1" applyBorder="1" applyAlignment="1">
      <alignment/>
    </xf>
    <xf numFmtId="38" fontId="45" fillId="0" borderId="31" xfId="0" applyNumberFormat="1" applyFont="1" applyBorder="1" applyAlignment="1">
      <alignment/>
    </xf>
    <xf numFmtId="6" fontId="45" fillId="0" borderId="14" xfId="0" applyNumberFormat="1" applyFont="1" applyFill="1" applyBorder="1" applyAlignment="1">
      <alignment/>
    </xf>
    <xf numFmtId="165" fontId="45" fillId="0" borderId="14" xfId="0" applyNumberFormat="1" applyFont="1" applyBorder="1" applyAlignment="1">
      <alignment/>
    </xf>
    <xf numFmtId="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5" fontId="57" fillId="0" borderId="14" xfId="42" applyNumberFormat="1" applyFont="1" applyBorder="1" applyAlignment="1">
      <alignment horizontal="right"/>
    </xf>
    <xf numFmtId="10" fontId="0" fillId="22" borderId="42" xfId="62" applyNumberFormat="1" applyFont="1" applyFill="1" applyBorder="1" applyAlignment="1">
      <alignment/>
    </xf>
    <xf numFmtId="10" fontId="21" fillId="0" borderId="98" xfId="45" applyNumberFormat="1" applyFont="1" applyFill="1" applyBorder="1" applyAlignment="1">
      <alignment horizontal="right"/>
    </xf>
    <xf numFmtId="0" fontId="41" fillId="0" borderId="12" xfId="59" applyFont="1" applyFill="1" applyBorder="1" applyAlignment="1">
      <alignment horizontal="right" wrapText="1"/>
      <protection/>
    </xf>
    <xf numFmtId="166" fontId="41" fillId="0" borderId="12" xfId="59" applyNumberFormat="1" applyFont="1" applyFill="1" applyBorder="1" applyAlignment="1">
      <alignment horizontal="right" wrapText="1"/>
      <protection/>
    </xf>
    <xf numFmtId="0" fontId="41" fillId="0" borderId="14" xfId="59" applyFont="1" applyFill="1" applyBorder="1" applyAlignment="1">
      <alignment horizontal="right" wrapText="1"/>
      <protection/>
    </xf>
    <xf numFmtId="166" fontId="41" fillId="0" borderId="14" xfId="59" applyNumberFormat="1" applyFont="1" applyFill="1" applyBorder="1" applyAlignment="1">
      <alignment horizontal="right" wrapText="1"/>
      <protection/>
    </xf>
    <xf numFmtId="0" fontId="0" fillId="0" borderId="12" xfId="0" applyFill="1" applyBorder="1" applyAlignment="1">
      <alignment/>
    </xf>
    <xf numFmtId="166" fontId="0" fillId="0" borderId="12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66" fontId="0" fillId="28" borderId="12" xfId="0" applyNumberFormat="1" applyFont="1" applyFill="1" applyBorder="1" applyAlignment="1">
      <alignment/>
    </xf>
    <xf numFmtId="4" fontId="0" fillId="28" borderId="12" xfId="42" applyNumberFormat="1" applyFont="1" applyFill="1" applyBorder="1" applyAlignment="1">
      <alignment/>
    </xf>
    <xf numFmtId="4" fontId="0" fillId="28" borderId="42" xfId="42" applyNumberFormat="1" applyFont="1" applyFill="1" applyBorder="1" applyAlignment="1">
      <alignment/>
    </xf>
    <xf numFmtId="40" fontId="0" fillId="28" borderId="12" xfId="0" applyNumberFormat="1" applyFont="1" applyFill="1" applyBorder="1" applyAlignment="1">
      <alignment/>
    </xf>
    <xf numFmtId="170" fontId="0" fillId="0" borderId="12" xfId="62" applyNumberFormat="1" applyFont="1" applyFill="1" applyBorder="1" applyAlignment="1">
      <alignment/>
    </xf>
    <xf numFmtId="170" fontId="0" fillId="0" borderId="14" xfId="62" applyNumberFormat="1" applyFont="1" applyFill="1" applyBorder="1" applyAlignment="1">
      <alignment/>
    </xf>
    <xf numFmtId="0" fontId="21" fillId="0" borderId="13" xfId="0" applyFont="1" applyFill="1" applyBorder="1" applyAlignment="1">
      <alignment horizontal="right"/>
    </xf>
    <xf numFmtId="3" fontId="0" fillId="0" borderId="12" xfId="0" applyNumberFormat="1" applyFont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07" xfId="0" applyFont="1" applyFill="1" applyBorder="1" applyAlignment="1" applyProtection="1">
      <alignment/>
      <protection/>
    </xf>
    <xf numFmtId="0" fontId="0" fillId="0" borderId="127" xfId="0" applyFont="1" applyFill="1" applyBorder="1" applyAlignment="1" applyProtection="1">
      <alignment/>
      <protection/>
    </xf>
    <xf numFmtId="0" fontId="0" fillId="0" borderId="120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 horizontal="center"/>
      <protection/>
    </xf>
    <xf numFmtId="3" fontId="0" fillId="0" borderId="11" xfId="42" applyNumberFormat="1" applyFont="1" applyBorder="1" applyAlignment="1">
      <alignment/>
    </xf>
    <xf numFmtId="0" fontId="0" fillId="20" borderId="44" xfId="0" applyFill="1" applyBorder="1" applyAlignment="1">
      <alignment/>
    </xf>
    <xf numFmtId="0" fontId="21" fillId="20" borderId="57" xfId="0" applyFont="1" applyFill="1" applyBorder="1" applyAlignment="1" applyProtection="1">
      <alignment/>
      <protection/>
    </xf>
    <xf numFmtId="3" fontId="0" fillId="20" borderId="57" xfId="0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 applyProtection="1">
      <alignment/>
      <protection/>
    </xf>
    <xf numFmtId="0" fontId="0" fillId="0" borderId="79" xfId="0" applyNumberFormat="1" applyFont="1" applyFill="1" applyBorder="1" applyAlignment="1" applyProtection="1">
      <alignment wrapText="1"/>
      <protection/>
    </xf>
    <xf numFmtId="3" fontId="0" fillId="0" borderId="79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8" xfId="0" applyFont="1" applyFill="1" applyBorder="1" applyAlignment="1" applyProtection="1">
      <alignment/>
      <protection/>
    </xf>
    <xf numFmtId="0" fontId="0" fillId="0" borderId="129" xfId="0" applyNumberFormat="1" applyFont="1" applyBorder="1" applyAlignment="1" applyProtection="1">
      <alignment/>
      <protection/>
    </xf>
    <xf numFmtId="3" fontId="0" fillId="0" borderId="129" xfId="0" applyNumberFormat="1" applyFont="1" applyBorder="1" applyAlignment="1" applyProtection="1">
      <alignment/>
      <protection/>
    </xf>
    <xf numFmtId="0" fontId="0" fillId="0" borderId="0" xfId="0" applyAlignment="1" quotePrefix="1">
      <alignment/>
    </xf>
    <xf numFmtId="3" fontId="0" fillId="7" borderId="12" xfId="0" applyNumberFormat="1" applyFont="1" applyFill="1" applyBorder="1" applyAlignment="1" applyProtection="1">
      <alignment/>
      <protection/>
    </xf>
    <xf numFmtId="3" fontId="0" fillId="7" borderId="12" xfId="0" applyNumberFormat="1" applyFont="1" applyFill="1" applyBorder="1" applyAlignment="1">
      <alignment/>
    </xf>
    <xf numFmtId="170" fontId="0" fillId="4" borderId="12" xfId="62" applyNumberFormat="1" applyFont="1" applyFill="1" applyBorder="1" applyAlignment="1">
      <alignment/>
    </xf>
    <xf numFmtId="166" fontId="0" fillId="4" borderId="99" xfId="0" applyNumberFormat="1" applyFont="1" applyFill="1" applyBorder="1" applyAlignment="1">
      <alignment/>
    </xf>
    <xf numFmtId="166" fontId="0" fillId="4" borderId="52" xfId="0" applyNumberFormat="1" applyFont="1" applyFill="1" applyBorder="1" applyAlignment="1">
      <alignment/>
    </xf>
    <xf numFmtId="165" fontId="0" fillId="4" borderId="12" xfId="42" applyNumberFormat="1" applyFont="1" applyFill="1" applyBorder="1" applyAlignment="1">
      <alignment/>
    </xf>
    <xf numFmtId="6" fontId="64" fillId="0" borderId="0" xfId="0" applyNumberFormat="1" applyFont="1" applyBorder="1" applyAlignment="1">
      <alignment horizontal="right"/>
    </xf>
    <xf numFmtId="6" fontId="64" fillId="0" borderId="0" xfId="0" applyNumberFormat="1" applyFont="1" applyAlignment="1">
      <alignment horizontal="right"/>
    </xf>
    <xf numFmtId="5" fontId="17" fillId="0" borderId="58" xfId="0" applyNumberFormat="1" applyFont="1" applyFill="1" applyBorder="1" applyAlignment="1" applyProtection="1">
      <alignment/>
      <protection/>
    </xf>
    <xf numFmtId="2" fontId="41" fillId="0" borderId="12" xfId="59" applyNumberFormat="1" applyFont="1" applyFill="1" applyBorder="1" applyAlignment="1">
      <alignment horizontal="right" wrapText="1"/>
      <protection/>
    </xf>
    <xf numFmtId="2" fontId="41" fillId="0" borderId="14" xfId="59" applyNumberFormat="1" applyFont="1" applyFill="1" applyBorder="1" applyAlignment="1">
      <alignment horizontal="right" wrapText="1"/>
      <protection/>
    </xf>
    <xf numFmtId="2" fontId="0" fillId="0" borderId="12" xfId="0" applyNumberFormat="1" applyFill="1" applyBorder="1" applyAlignment="1">
      <alignment/>
    </xf>
    <xf numFmtId="171" fontId="0" fillId="0" borderId="0" xfId="62" applyNumberFormat="1" applyFont="1" applyAlignment="1">
      <alignment/>
    </xf>
    <xf numFmtId="0" fontId="0" fillId="4" borderId="31" xfId="0" applyFill="1" applyBorder="1" applyAlignment="1">
      <alignment horizontal="center" vertical="center"/>
    </xf>
    <xf numFmtId="0" fontId="0" fillId="22" borderId="10" xfId="0" applyFont="1" applyFill="1" applyBorder="1" applyAlignment="1" applyProtection="1">
      <alignment/>
      <protection/>
    </xf>
    <xf numFmtId="0" fontId="0" fillId="22" borderId="12" xfId="0" applyNumberFormat="1" applyFont="1" applyFill="1" applyBorder="1" applyAlignment="1" applyProtection="1">
      <alignment/>
      <protection/>
    </xf>
    <xf numFmtId="3" fontId="0" fillId="22" borderId="12" xfId="0" applyNumberFormat="1" applyFont="1" applyFill="1" applyBorder="1" applyAlignment="1" applyProtection="1">
      <alignment horizontal="right"/>
      <protection/>
    </xf>
    <xf numFmtId="3" fontId="0" fillId="22" borderId="12" xfId="0" applyNumberFormat="1" applyFont="1" applyFill="1" applyBorder="1" applyAlignment="1" applyProtection="1">
      <alignment/>
      <protection/>
    </xf>
    <xf numFmtId="0" fontId="0" fillId="22" borderId="107" xfId="0" applyFont="1" applyFill="1" applyBorder="1" applyAlignment="1" applyProtection="1">
      <alignment/>
      <protection/>
    </xf>
    <xf numFmtId="0" fontId="0" fillId="22" borderId="14" xfId="0" applyNumberFormat="1" applyFont="1" applyFill="1" applyBorder="1" applyAlignment="1" applyProtection="1">
      <alignment/>
      <protection/>
    </xf>
    <xf numFmtId="3" fontId="0" fillId="22" borderId="14" xfId="0" applyNumberFormat="1" applyFont="1" applyFill="1" applyBorder="1" applyAlignment="1" applyProtection="1">
      <alignment horizontal="right"/>
      <protection/>
    </xf>
    <xf numFmtId="3" fontId="0" fillId="22" borderId="14" xfId="0" applyNumberFormat="1" applyFont="1" applyFill="1" applyBorder="1" applyAlignment="1" applyProtection="1">
      <alignment/>
      <protection/>
    </xf>
    <xf numFmtId="0" fontId="0" fillId="22" borderId="127" xfId="0" applyFont="1" applyFill="1" applyBorder="1" applyAlignment="1" applyProtection="1">
      <alignment/>
      <protection/>
    </xf>
    <xf numFmtId="0" fontId="0" fillId="22" borderId="11" xfId="0" applyNumberFormat="1" applyFont="1" applyFill="1" applyBorder="1" applyAlignment="1" applyProtection="1">
      <alignment/>
      <protection/>
    </xf>
    <xf numFmtId="3" fontId="0" fillId="22" borderId="11" xfId="0" applyNumberFormat="1" applyFont="1" applyFill="1" applyBorder="1" applyAlignment="1" applyProtection="1">
      <alignment horizontal="right"/>
      <protection/>
    </xf>
    <xf numFmtId="3" fontId="0" fillId="22" borderId="11" xfId="0" applyNumberFormat="1" applyFont="1" applyFill="1" applyBorder="1" applyAlignment="1" applyProtection="1">
      <alignment/>
      <protection/>
    </xf>
    <xf numFmtId="0" fontId="3" fillId="22" borderId="10" xfId="0" applyFont="1" applyFill="1" applyBorder="1" applyAlignment="1" applyProtection="1">
      <alignment/>
      <protection/>
    </xf>
    <xf numFmtId="0" fontId="0" fillId="22" borderId="10" xfId="0" applyFont="1" applyFill="1" applyBorder="1" applyAlignment="1" applyProtection="1">
      <alignment horizontal="left"/>
      <protection/>
    </xf>
    <xf numFmtId="3" fontId="0" fillId="22" borderId="12" xfId="42" applyNumberFormat="1" applyFont="1" applyFill="1" applyBorder="1" applyAlignment="1">
      <alignment/>
    </xf>
    <xf numFmtId="0" fontId="21" fillId="24" borderId="0" xfId="0" applyFont="1" applyFill="1" applyBorder="1" applyAlignment="1" applyProtection="1">
      <alignment horizontal="center"/>
      <protection/>
    </xf>
    <xf numFmtId="0" fontId="0" fillId="22" borderId="0" xfId="0" applyFont="1" applyFill="1" applyBorder="1" applyAlignment="1" applyProtection="1">
      <alignment horizontal="left"/>
      <protection/>
    </xf>
    <xf numFmtId="38" fontId="0" fillId="0" borderId="51" xfId="0" applyNumberFormat="1" applyFont="1" applyFill="1" applyBorder="1" applyAlignment="1" applyProtection="1">
      <alignment/>
      <protection/>
    </xf>
    <xf numFmtId="38" fontId="0" fillId="0" borderId="11" xfId="0" applyNumberFormat="1" applyFont="1" applyFill="1" applyBorder="1" applyAlignment="1" applyProtection="1">
      <alignment/>
      <protection/>
    </xf>
    <xf numFmtId="38" fontId="0" fillId="0" borderId="52" xfId="0" applyNumberFormat="1" applyFont="1" applyFill="1" applyBorder="1" applyAlignment="1" applyProtection="1">
      <alignment/>
      <protection/>
    </xf>
    <xf numFmtId="38" fontId="0" fillId="0" borderId="75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6" fontId="0" fillId="0" borderId="119" xfId="42" applyNumberFormat="1" applyFont="1" applyFill="1" applyBorder="1" applyAlignment="1" applyProtection="1">
      <alignment/>
      <protection/>
    </xf>
    <xf numFmtId="6" fontId="0" fillId="0" borderId="15" xfId="42" applyNumberFormat="1" applyFont="1" applyFill="1" applyBorder="1" applyAlignment="1" applyProtection="1">
      <alignment/>
      <protection/>
    </xf>
    <xf numFmtId="166" fontId="21" fillId="4" borderId="31" xfId="0" applyNumberFormat="1" applyFont="1" applyFill="1" applyBorder="1" applyAlignment="1" quotePrefix="1">
      <alignment horizontal="center" vertical="center" wrapText="1"/>
    </xf>
    <xf numFmtId="6" fontId="49" fillId="28" borderId="69" xfId="42" applyNumberFormat="1" applyFont="1" applyFill="1" applyBorder="1" applyAlignment="1" applyProtection="1">
      <alignment/>
      <protection/>
    </xf>
    <xf numFmtId="165" fontId="0" fillId="28" borderId="10" xfId="42" applyNumberFormat="1" applyFont="1" applyFill="1" applyBorder="1" applyAlignment="1" applyProtection="1">
      <alignment horizontal="center"/>
      <protection/>
    </xf>
    <xf numFmtId="6" fontId="57" fillId="0" borderId="14" xfId="0" applyNumberFormat="1" applyFont="1" applyBorder="1" applyAlignment="1">
      <alignment horizontal="center" wrapText="1"/>
    </xf>
    <xf numFmtId="165" fontId="21" fillId="0" borderId="0" xfId="0" applyNumberFormat="1" applyFont="1" applyBorder="1" applyAlignment="1">
      <alignment/>
    </xf>
    <xf numFmtId="0" fontId="68" fillId="0" borderId="14" xfId="0" applyFont="1" applyFill="1" applyBorder="1" applyAlignment="1">
      <alignment horizontal="left" wrapText="1"/>
    </xf>
    <xf numFmtId="38" fontId="68" fillId="0" borderId="14" xfId="0" applyNumberFormat="1" applyFont="1" applyFill="1" applyBorder="1" applyAlignment="1">
      <alignment wrapText="1"/>
    </xf>
    <xf numFmtId="0" fontId="57" fillId="0" borderId="43" xfId="0" applyFont="1" applyFill="1" applyBorder="1" applyAlignment="1">
      <alignment horizontal="left" wrapText="1"/>
    </xf>
    <xf numFmtId="0" fontId="45" fillId="20" borderId="43" xfId="0" applyFont="1" applyFill="1" applyBorder="1" applyAlignment="1">
      <alignment horizontal="center" wrapText="1"/>
    </xf>
    <xf numFmtId="0" fontId="67" fillId="20" borderId="43" xfId="0" applyFont="1" applyFill="1" applyBorder="1" applyAlignment="1">
      <alignment horizontal="right" wrapText="1"/>
    </xf>
    <xf numFmtId="0" fontId="67" fillId="20" borderId="43" xfId="0" applyFont="1" applyFill="1" applyBorder="1" applyAlignment="1">
      <alignment horizontal="left" wrapText="1"/>
    </xf>
    <xf numFmtId="0" fontId="67" fillId="20" borderId="14" xfId="0" applyFont="1" applyFill="1" applyBorder="1" applyAlignment="1">
      <alignment horizontal="right" wrapText="1"/>
    </xf>
    <xf numFmtId="0" fontId="67" fillId="20" borderId="31" xfId="0" applyFont="1" applyFill="1" applyBorder="1" applyAlignment="1">
      <alignment horizontal="right" wrapText="1"/>
    </xf>
    <xf numFmtId="3" fontId="45" fillId="0" borderId="43" xfId="0" applyNumberFormat="1" applyFont="1" applyFill="1" applyBorder="1" applyAlignment="1">
      <alignment horizontal="right"/>
    </xf>
    <xf numFmtId="6" fontId="45" fillId="0" borderId="43" xfId="0" applyNumberFormat="1" applyFont="1" applyBorder="1" applyAlignment="1">
      <alignment horizontal="right"/>
    </xf>
    <xf numFmtId="6" fontId="45" fillId="0" borderId="14" xfId="0" applyNumberFormat="1" applyFont="1" applyBorder="1" applyAlignment="1">
      <alignment horizontal="right"/>
    </xf>
    <xf numFmtId="6" fontId="45" fillId="0" borderId="15" xfId="0" applyNumberFormat="1" applyFont="1" applyBorder="1" applyAlignment="1">
      <alignment horizontal="right"/>
    </xf>
    <xf numFmtId="6" fontId="45" fillId="0" borderId="57" xfId="0" applyNumberFormat="1" applyFont="1" applyBorder="1" applyAlignment="1">
      <alignment horizontal="right"/>
    </xf>
    <xf numFmtId="165" fontId="45" fillId="0" borderId="14" xfId="42" applyNumberFormat="1" applyFont="1" applyBorder="1" applyAlignment="1">
      <alignment horizontal="right"/>
    </xf>
    <xf numFmtId="0" fontId="45" fillId="29" borderId="43" xfId="0" applyFont="1" applyFill="1" applyBorder="1" applyAlignment="1">
      <alignment horizontal="right" wrapText="1"/>
    </xf>
    <xf numFmtId="3" fontId="57" fillId="29" borderId="15" xfId="0" applyNumberFormat="1" applyFont="1" applyFill="1" applyBorder="1" applyAlignment="1">
      <alignment horizontal="right"/>
    </xf>
    <xf numFmtId="6" fontId="57" fillId="29" borderId="15" xfId="0" applyNumberFormat="1" applyFont="1" applyFill="1" applyBorder="1" applyAlignment="1">
      <alignment horizontal="right"/>
    </xf>
    <xf numFmtId="6" fontId="57" fillId="29" borderId="57" xfId="0" applyNumberFormat="1" applyFont="1" applyFill="1" applyBorder="1" applyAlignment="1">
      <alignment horizontal="right"/>
    </xf>
    <xf numFmtId="165" fontId="57" fillId="29" borderId="15" xfId="42" applyNumberFormat="1" applyFont="1" applyFill="1" applyBorder="1" applyAlignment="1">
      <alignment horizontal="right"/>
    </xf>
    <xf numFmtId="0" fontId="45" fillId="0" borderId="4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wrapText="1"/>
    </xf>
    <xf numFmtId="6" fontId="45" fillId="0" borderId="31" xfId="0" applyNumberFormat="1" applyFont="1" applyBorder="1" applyAlignment="1">
      <alignment horizontal="right"/>
    </xf>
    <xf numFmtId="0" fontId="45" fillId="0" borderId="31" xfId="0" applyFont="1" applyBorder="1" applyAlignment="1">
      <alignment horizontal="right" wrapText="1"/>
    </xf>
    <xf numFmtId="6" fontId="57" fillId="0" borderId="14" xfId="0" applyNumberFormat="1" applyFont="1" applyBorder="1" applyAlignment="1">
      <alignment horizontal="right"/>
    </xf>
    <xf numFmtId="5" fontId="57" fillId="0" borderId="14" xfId="0" applyNumberFormat="1" applyFont="1" applyFill="1" applyBorder="1" applyAlignment="1">
      <alignment horizontal="right" wrapText="1"/>
    </xf>
    <xf numFmtId="3" fontId="57" fillId="0" borderId="14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Border="1" applyAlignment="1" quotePrefix="1">
      <alignment horizontal="center"/>
    </xf>
    <xf numFmtId="3" fontId="45" fillId="0" borderId="14" xfId="0" applyNumberFormat="1" applyFont="1" applyFill="1" applyBorder="1" applyAlignment="1">
      <alignment horizontal="right"/>
    </xf>
    <xf numFmtId="3" fontId="57" fillId="0" borderId="43" xfId="0" applyNumberFormat="1" applyFont="1" applyFill="1" applyBorder="1" applyAlignment="1">
      <alignment horizontal="right" wrapText="1"/>
    </xf>
    <xf numFmtId="6" fontId="57" fillId="0" borderId="43" xfId="0" applyNumberFormat="1" applyFont="1" applyBorder="1" applyAlignment="1">
      <alignment horizontal="right"/>
    </xf>
    <xf numFmtId="3" fontId="45" fillId="0" borderId="31" xfId="0" applyNumberFormat="1" applyFont="1" applyFill="1" applyBorder="1" applyAlignment="1">
      <alignment horizontal="right"/>
    </xf>
    <xf numFmtId="165" fontId="0" fillId="4" borderId="52" xfId="42" applyNumberFormat="1" applyFont="1" applyFill="1" applyBorder="1" applyAlignment="1" applyProtection="1">
      <alignment/>
      <protection/>
    </xf>
    <xf numFmtId="166" fontId="0" fillId="4" borderId="52" xfId="42" applyNumberFormat="1" applyFont="1" applyFill="1" applyBorder="1" applyAlignment="1" applyProtection="1">
      <alignment/>
      <protection/>
    </xf>
    <xf numFmtId="6" fontId="0" fillId="0" borderId="103" xfId="0" applyNumberFormat="1" applyFont="1" applyFill="1" applyBorder="1" applyAlignment="1" applyProtection="1">
      <alignment/>
      <protection/>
    </xf>
    <xf numFmtId="6" fontId="0" fillId="0" borderId="101" xfId="0" applyNumberFormat="1" applyFont="1" applyFill="1" applyBorder="1" applyAlignment="1" applyProtection="1">
      <alignment/>
      <protection/>
    </xf>
    <xf numFmtId="6" fontId="0" fillId="0" borderId="102" xfId="0" applyNumberFormat="1" applyFont="1" applyFill="1" applyBorder="1" applyAlignment="1" applyProtection="1">
      <alignment/>
      <protection/>
    </xf>
    <xf numFmtId="6" fontId="0" fillId="0" borderId="130" xfId="0" applyNumberFormat="1" applyFont="1" applyFill="1" applyBorder="1" applyAlignment="1" applyProtection="1">
      <alignment/>
      <protection/>
    </xf>
    <xf numFmtId="6" fontId="21" fillId="0" borderId="131" xfId="0" applyNumberFormat="1" applyFont="1" applyFill="1" applyBorder="1" applyAlignment="1" applyProtection="1">
      <alignment/>
      <protection/>
    </xf>
    <xf numFmtId="0" fontId="57" fillId="0" borderId="0" xfId="0" applyFont="1" applyAlignment="1">
      <alignment horizontal="right"/>
    </xf>
    <xf numFmtId="166" fontId="0" fillId="22" borderId="12" xfId="42" applyNumberFormat="1" applyFont="1" applyFill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22" borderId="14" xfId="42" applyNumberFormat="1" applyFont="1" applyFill="1" applyBorder="1" applyAlignment="1">
      <alignment/>
    </xf>
    <xf numFmtId="166" fontId="0" fillId="0" borderId="14" xfId="42" applyNumberFormat="1" applyFont="1" applyBorder="1" applyAlignment="1">
      <alignment/>
    </xf>
    <xf numFmtId="0" fontId="6" fillId="0" borderId="132" xfId="0" applyFont="1" applyFill="1" applyBorder="1" applyAlignment="1">
      <alignment/>
    </xf>
    <xf numFmtId="10" fontId="6" fillId="0" borderId="133" xfId="0" applyNumberFormat="1" applyFont="1" applyFill="1" applyBorder="1" applyAlignment="1" applyProtection="1">
      <alignment vertical="top"/>
      <protection/>
    </xf>
    <xf numFmtId="10" fontId="6" fillId="0" borderId="134" xfId="0" applyNumberFormat="1" applyFont="1" applyFill="1" applyBorder="1" applyAlignment="1" applyProtection="1">
      <alignment/>
      <protection/>
    </xf>
    <xf numFmtId="10" fontId="6" fillId="0" borderId="135" xfId="0" applyNumberFormat="1" applyFont="1" applyFill="1" applyBorder="1" applyAlignment="1" applyProtection="1">
      <alignment/>
      <protection/>
    </xf>
    <xf numFmtId="10" fontId="4" fillId="0" borderId="135" xfId="0" applyNumberFormat="1" applyFont="1" applyFill="1" applyBorder="1" applyAlignment="1" applyProtection="1">
      <alignment/>
      <protection/>
    </xf>
    <xf numFmtId="10" fontId="6" fillId="0" borderId="136" xfId="0" applyNumberFormat="1" applyFont="1" applyFill="1" applyBorder="1" applyAlignment="1" applyProtection="1">
      <alignment/>
      <protection/>
    </xf>
    <xf numFmtId="10" fontId="6" fillId="0" borderId="137" xfId="0" applyNumberFormat="1" applyFont="1" applyFill="1" applyBorder="1" applyAlignment="1" applyProtection="1">
      <alignment/>
      <protection/>
    </xf>
    <xf numFmtId="10" fontId="17" fillId="0" borderId="135" xfId="0" applyNumberFormat="1" applyFont="1" applyFill="1" applyBorder="1" applyAlignment="1" applyProtection="1">
      <alignment/>
      <protection/>
    </xf>
    <xf numFmtId="10" fontId="6" fillId="0" borderId="138" xfId="0" applyNumberFormat="1" applyFont="1" applyFill="1" applyBorder="1" applyAlignment="1" applyProtection="1">
      <alignment/>
      <protection/>
    </xf>
    <xf numFmtId="10" fontId="17" fillId="0" borderId="139" xfId="0" applyNumberFormat="1" applyFont="1" applyFill="1" applyBorder="1" applyAlignment="1" applyProtection="1">
      <alignment/>
      <protection/>
    </xf>
    <xf numFmtId="10" fontId="17" fillId="0" borderId="140" xfId="0" applyNumberFormat="1" applyFont="1" applyFill="1" applyBorder="1" applyAlignment="1" applyProtection="1">
      <alignment/>
      <protection/>
    </xf>
    <xf numFmtId="10" fontId="6" fillId="0" borderId="141" xfId="0" applyNumberFormat="1" applyFont="1" applyFill="1" applyBorder="1" applyAlignment="1" applyProtection="1">
      <alignment/>
      <protection/>
    </xf>
    <xf numFmtId="10" fontId="6" fillId="0" borderId="142" xfId="0" applyNumberFormat="1" applyFont="1" applyFill="1" applyBorder="1" applyAlignment="1" applyProtection="1">
      <alignment/>
      <protection/>
    </xf>
    <xf numFmtId="10" fontId="33" fillId="22" borderId="143" xfId="0" applyNumberFormat="1" applyFont="1" applyFill="1" applyBorder="1" applyAlignment="1" applyProtection="1">
      <alignment/>
      <protection/>
    </xf>
    <xf numFmtId="10" fontId="33" fillId="22" borderId="142" xfId="0" applyNumberFormat="1" applyFont="1" applyFill="1" applyBorder="1" applyAlignment="1" applyProtection="1">
      <alignment/>
      <protection/>
    </xf>
    <xf numFmtId="10" fontId="33" fillId="22" borderId="139" xfId="0" applyNumberFormat="1" applyFont="1" applyFill="1" applyBorder="1" applyAlignment="1" applyProtection="1">
      <alignment/>
      <protection/>
    </xf>
    <xf numFmtId="10" fontId="33" fillId="0" borderId="144" xfId="0" applyNumberFormat="1" applyFont="1" applyFill="1" applyBorder="1" applyAlignment="1" applyProtection="1">
      <alignment/>
      <protection/>
    </xf>
    <xf numFmtId="10" fontId="6" fillId="0" borderId="145" xfId="0" applyNumberFormat="1" applyFont="1" applyFill="1" applyBorder="1" applyAlignment="1" applyProtection="1">
      <alignment/>
      <protection/>
    </xf>
    <xf numFmtId="10" fontId="6" fillId="0" borderId="146" xfId="0" applyNumberFormat="1" applyFont="1" applyFill="1" applyBorder="1" applyAlignment="1" applyProtection="1">
      <alignment/>
      <protection/>
    </xf>
    <xf numFmtId="10" fontId="6" fillId="0" borderId="147" xfId="0" applyNumberFormat="1" applyFont="1" applyFill="1" applyBorder="1" applyAlignment="1" applyProtection="1">
      <alignment/>
      <protection/>
    </xf>
    <xf numFmtId="10" fontId="17" fillId="22" borderId="148" xfId="0" applyNumberFormat="1" applyFont="1" applyFill="1" applyBorder="1" applyAlignment="1" applyProtection="1">
      <alignment vertical="center"/>
      <protection/>
    </xf>
    <xf numFmtId="10" fontId="33" fillId="0" borderId="135" xfId="0" applyNumberFormat="1" applyFont="1" applyFill="1" applyBorder="1" applyAlignment="1" applyProtection="1">
      <alignment/>
      <protection/>
    </xf>
    <xf numFmtId="0" fontId="0" fillId="0" borderId="149" xfId="0" applyBorder="1" applyAlignment="1">
      <alignment/>
    </xf>
    <xf numFmtId="10" fontId="6" fillId="0" borderId="149" xfId="0" applyNumberFormat="1" applyFont="1" applyFill="1" applyBorder="1" applyAlignment="1" applyProtection="1">
      <alignment/>
      <protection/>
    </xf>
    <xf numFmtId="10" fontId="6" fillId="22" borderId="143" xfId="0" applyNumberFormat="1" applyFont="1" applyFill="1" applyBorder="1" applyAlignment="1" applyProtection="1">
      <alignment vertical="center"/>
      <protection/>
    </xf>
    <xf numFmtId="10" fontId="6" fillId="0" borderId="133" xfId="0" applyNumberFormat="1" applyFont="1" applyFill="1" applyBorder="1" applyAlignment="1" applyProtection="1">
      <alignment/>
      <protection/>
    </xf>
    <xf numFmtId="10" fontId="6" fillId="0" borderId="150" xfId="0" applyNumberFormat="1" applyFont="1" applyFill="1" applyBorder="1" applyAlignment="1" applyProtection="1">
      <alignment/>
      <protection/>
    </xf>
    <xf numFmtId="0" fontId="4" fillId="0" borderId="151" xfId="0" applyFont="1" applyFill="1" applyBorder="1" applyAlignment="1">
      <alignment horizontal="left" vertical="center" wrapText="1"/>
    </xf>
    <xf numFmtId="5" fontId="6" fillId="0" borderId="152" xfId="0" applyNumberFormat="1" applyFont="1" applyFill="1" applyBorder="1" applyAlignment="1" applyProtection="1">
      <alignment vertical="center"/>
      <protection/>
    </xf>
    <xf numFmtId="10" fontId="6" fillId="0" borderId="153" xfId="0" applyNumberFormat="1" applyFont="1" applyFill="1" applyBorder="1" applyAlignment="1" applyProtection="1">
      <alignment/>
      <protection/>
    </xf>
    <xf numFmtId="0" fontId="17" fillId="22" borderId="154" xfId="0" applyFont="1" applyFill="1" applyBorder="1" applyAlignment="1">
      <alignment horizontal="center" vertical="center"/>
    </xf>
    <xf numFmtId="5" fontId="17" fillId="22" borderId="155" xfId="0" applyNumberFormat="1" applyFont="1" applyFill="1" applyBorder="1" applyAlignment="1" applyProtection="1">
      <alignment vertical="center"/>
      <protection/>
    </xf>
    <xf numFmtId="10" fontId="33" fillId="22" borderId="156" xfId="0" applyNumberFormat="1" applyFont="1" applyFill="1" applyBorder="1" applyAlignment="1" applyProtection="1">
      <alignment vertical="center"/>
      <protection/>
    </xf>
    <xf numFmtId="0" fontId="4" fillId="0" borderId="123" xfId="0" applyFont="1" applyFill="1" applyBorder="1" applyAlignment="1">
      <alignment horizontal="left" vertical="center" wrapText="1"/>
    </xf>
    <xf numFmtId="5" fontId="6" fillId="0" borderId="124" xfId="0" applyNumberFormat="1" applyFont="1" applyFill="1" applyBorder="1" applyAlignment="1" applyProtection="1">
      <alignment vertical="center"/>
      <protection/>
    </xf>
    <xf numFmtId="10" fontId="6" fillId="0" borderId="157" xfId="0" applyNumberFormat="1" applyFont="1" applyFill="1" applyBorder="1" applyAlignment="1" applyProtection="1">
      <alignment/>
      <protection/>
    </xf>
    <xf numFmtId="0" fontId="62" fillId="22" borderId="31" xfId="0" applyFont="1" applyFill="1" applyBorder="1" applyAlignment="1">
      <alignment horizontal="center" vertical="center" wrapText="1"/>
    </xf>
    <xf numFmtId="0" fontId="0" fillId="0" borderId="0" xfId="0" applyFill="1" applyAlignment="1" quotePrefix="1">
      <alignment horizontal="left" wrapText="1"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wrapText="1"/>
      <protection/>
    </xf>
    <xf numFmtId="0" fontId="0" fillId="20" borderId="43" xfId="0" applyFill="1" applyBorder="1" applyAlignment="1">
      <alignment/>
    </xf>
    <xf numFmtId="0" fontId="21" fillId="20" borderId="15" xfId="0" applyFont="1" applyFill="1" applyBorder="1" applyAlignment="1" applyProtection="1">
      <alignment/>
      <protection/>
    </xf>
    <xf numFmtId="3" fontId="0" fillId="20" borderId="15" xfId="0" applyNumberFormat="1" applyFont="1" applyFill="1" applyBorder="1" applyAlignment="1">
      <alignment/>
    </xf>
    <xf numFmtId="0" fontId="3" fillId="24" borderId="158" xfId="0" applyFont="1" applyFill="1" applyBorder="1" applyAlignment="1" applyProtection="1">
      <alignment/>
      <protection/>
    </xf>
    <xf numFmtId="0" fontId="21" fillId="24" borderId="159" xfId="0" applyFont="1" applyFill="1" applyBorder="1" applyAlignment="1" applyProtection="1">
      <alignment horizontal="center"/>
      <protection/>
    </xf>
    <xf numFmtId="38" fontId="0" fillId="24" borderId="160" xfId="0" applyNumberFormat="1" applyFont="1" applyFill="1" applyBorder="1" applyAlignment="1" applyProtection="1">
      <alignment horizontal="right"/>
      <protection/>
    </xf>
    <xf numFmtId="38" fontId="0" fillId="0" borderId="160" xfId="42" applyNumberFormat="1" applyFont="1" applyBorder="1" applyAlignment="1">
      <alignment horizontal="right"/>
    </xf>
    <xf numFmtId="165" fontId="69" fillId="0" borderId="160" xfId="42" applyNumberFormat="1" applyFont="1" applyFill="1" applyBorder="1" applyAlignment="1">
      <alignment/>
    </xf>
    <xf numFmtId="165" fontId="69" fillId="0" borderId="160" xfId="42" applyNumberFormat="1" applyFont="1" applyBorder="1" applyAlignment="1">
      <alignment/>
    </xf>
    <xf numFmtId="10" fontId="69" fillId="0" borderId="160" xfId="62" applyNumberFormat="1" applyFont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3" borderId="14" xfId="0" applyFont="1" applyFill="1" applyBorder="1" applyAlignment="1">
      <alignment horizontal="center" vertical="center"/>
    </xf>
    <xf numFmtId="0" fontId="91" fillId="3" borderId="31" xfId="0" applyFont="1" applyFill="1" applyBorder="1" applyAlignment="1">
      <alignment horizontal="center" vertical="center"/>
    </xf>
    <xf numFmtId="0" fontId="91" fillId="3" borderId="31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38" fontId="68" fillId="0" borderId="31" xfId="0" applyNumberFormat="1" applyFont="1" applyFill="1" applyBorder="1" applyAlignment="1">
      <alignment horizontal="center"/>
    </xf>
    <xf numFmtId="6" fontId="68" fillId="0" borderId="31" xfId="0" applyNumberFormat="1" applyFont="1" applyBorder="1" applyAlignment="1">
      <alignment horizontal="center"/>
    </xf>
    <xf numFmtId="6" fontId="68" fillId="0" borderId="31" xfId="0" applyNumberFormat="1" applyFont="1" applyBorder="1" applyAlignment="1">
      <alignment horizontal="center" wrapText="1"/>
    </xf>
    <xf numFmtId="6" fontId="68" fillId="0" borderId="31" xfId="0" applyNumberFormat="1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93" fillId="4" borderId="31" xfId="0" applyFont="1" applyFill="1" applyBorder="1" applyAlignment="1" quotePrefix="1">
      <alignment horizontal="left" wrapText="1"/>
    </xf>
    <xf numFmtId="0" fontId="93" fillId="4" borderId="31" xfId="0" applyFont="1" applyFill="1" applyBorder="1" applyAlignment="1">
      <alignment horizontal="left" wrapText="1"/>
    </xf>
    <xf numFmtId="6" fontId="93" fillId="0" borderId="31" xfId="0" applyNumberFormat="1" applyFont="1" applyBorder="1" applyAlignment="1">
      <alignment horizontal="center"/>
    </xf>
    <xf numFmtId="0" fontId="94" fillId="0" borderId="0" xfId="0" applyFont="1" applyFill="1" applyBorder="1" applyAlignment="1" quotePrefix="1">
      <alignment horizontal="left" wrapText="1"/>
    </xf>
    <xf numFmtId="6" fontId="95" fillId="0" borderId="0" xfId="0" applyNumberFormat="1" applyFont="1" applyBorder="1" applyAlignment="1">
      <alignment horizontal="right"/>
    </xf>
    <xf numFmtId="38" fontId="95" fillId="0" borderId="0" xfId="0" applyNumberFormat="1" applyFont="1" applyBorder="1" applyAlignment="1">
      <alignment horizontal="right"/>
    </xf>
    <xf numFmtId="6" fontId="91" fillId="0" borderId="0" xfId="0" applyNumberFormat="1" applyFont="1" applyBorder="1" applyAlignment="1">
      <alignment horizontal="right"/>
    </xf>
    <xf numFmtId="6" fontId="91" fillId="0" borderId="0" xfId="0" applyNumberFormat="1" applyFont="1" applyBorder="1" applyAlignment="1">
      <alignment/>
    </xf>
    <xf numFmtId="0" fontId="95" fillId="0" borderId="0" xfId="0" applyFont="1" applyFill="1" applyBorder="1" applyAlignment="1">
      <alignment horizontal="left"/>
    </xf>
    <xf numFmtId="0" fontId="95" fillId="0" borderId="0" xfId="0" applyFont="1" applyBorder="1" applyAlignment="1">
      <alignment/>
    </xf>
    <xf numFmtId="203" fontId="18" fillId="0" borderId="0" xfId="42" applyNumberFormat="1" applyFont="1" applyFill="1" applyBorder="1" applyAlignment="1" applyProtection="1">
      <alignment/>
      <protection/>
    </xf>
    <xf numFmtId="38" fontId="18" fillId="0" borderId="0" xfId="42" applyNumberFormat="1" applyFont="1" applyFill="1" applyBorder="1" applyAlignment="1" applyProtection="1">
      <alignment/>
      <protection/>
    </xf>
    <xf numFmtId="38" fontId="21" fillId="0" borderId="161" xfId="42" applyNumberFormat="1" applyFont="1" applyFill="1" applyBorder="1" applyAlignment="1" applyProtection="1">
      <alignment/>
      <protection/>
    </xf>
    <xf numFmtId="6" fontId="21" fillId="0" borderId="161" xfId="42" applyNumberFormat="1" applyFont="1" applyFill="1" applyBorder="1" applyAlignment="1" applyProtection="1">
      <alignment/>
      <protection/>
    </xf>
    <xf numFmtId="165" fontId="21" fillId="0" borderId="13" xfId="42" applyNumberFormat="1" applyFont="1" applyFill="1" applyBorder="1" applyAlignment="1" applyProtection="1">
      <alignment/>
      <protection/>
    </xf>
    <xf numFmtId="5" fontId="21" fillId="0" borderId="13" xfId="0" applyNumberFormat="1" applyFont="1" applyFill="1" applyBorder="1" applyAlignment="1" applyProtection="1">
      <alignment/>
      <protection/>
    </xf>
    <xf numFmtId="5" fontId="21" fillId="4" borderId="13" xfId="0" applyNumberFormat="1" applyFont="1" applyFill="1" applyBorder="1" applyAlignment="1" applyProtection="1">
      <alignment/>
      <protection/>
    </xf>
    <xf numFmtId="5" fontId="0" fillId="22" borderId="12" xfId="0" applyNumberFormat="1" applyFont="1" applyFill="1" applyBorder="1" applyAlignment="1" applyProtection="1">
      <alignment/>
      <protection/>
    </xf>
    <xf numFmtId="6" fontId="57" fillId="22" borderId="14" xfId="0" applyNumberFormat="1" applyFont="1" applyFill="1" applyBorder="1" applyAlignment="1">
      <alignment horizontal="center"/>
    </xf>
    <xf numFmtId="6" fontId="57" fillId="22" borderId="14" xfId="0" applyNumberFormat="1" applyFont="1" applyFill="1" applyBorder="1" applyAlignment="1">
      <alignment/>
    </xf>
    <xf numFmtId="6" fontId="57" fillId="22" borderId="31" xfId="0" applyNumberFormat="1" applyFont="1" applyFill="1" applyBorder="1" applyAlignment="1">
      <alignment/>
    </xf>
    <xf numFmtId="6" fontId="45" fillId="22" borderId="31" xfId="0" applyNumberFormat="1" applyFont="1" applyFill="1" applyBorder="1" applyAlignment="1">
      <alignment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60" fillId="20" borderId="44" xfId="0" applyFont="1" applyFill="1" applyBorder="1" applyAlignment="1">
      <alignment horizontal="left" wrapText="1"/>
    </xf>
    <xf numFmtId="165" fontId="45" fillId="20" borderId="57" xfId="42" applyNumberFormat="1" applyFont="1" applyFill="1" applyBorder="1" applyAlignment="1">
      <alignment/>
    </xf>
    <xf numFmtId="6" fontId="57" fillId="20" borderId="57" xfId="0" applyNumberFormat="1" applyFont="1" applyFill="1" applyBorder="1" applyAlignment="1">
      <alignment/>
    </xf>
    <xf numFmtId="6" fontId="45" fillId="20" borderId="57" xfId="0" applyNumberFormat="1" applyFont="1" applyFill="1" applyBorder="1" applyAlignment="1">
      <alignment/>
    </xf>
    <xf numFmtId="38" fontId="45" fillId="20" borderId="57" xfId="0" applyNumberFormat="1" applyFont="1" applyFill="1" applyBorder="1" applyAlignment="1">
      <alignment/>
    </xf>
    <xf numFmtId="6" fontId="45" fillId="21" borderId="49" xfId="0" applyNumberFormat="1" applyFont="1" applyFill="1" applyBorder="1" applyAlignment="1">
      <alignment/>
    </xf>
    <xf numFmtId="6" fontId="57" fillId="0" borderId="14" xfId="0" applyNumberFormat="1" applyFont="1" applyFill="1" applyBorder="1" applyAlignment="1">
      <alignment/>
    </xf>
    <xf numFmtId="6" fontId="57" fillId="22" borderId="14" xfId="0" applyNumberFormat="1" applyFont="1" applyFill="1" applyBorder="1" applyAlignment="1">
      <alignment horizontal="right"/>
    </xf>
    <xf numFmtId="6" fontId="57" fillId="22" borderId="14" xfId="0" applyNumberFormat="1" applyFont="1" applyFill="1" applyBorder="1" applyAlignment="1">
      <alignment horizontal="right"/>
    </xf>
    <xf numFmtId="6" fontId="45" fillId="22" borderId="14" xfId="0" applyNumberFormat="1" applyFont="1" applyFill="1" applyBorder="1" applyAlignment="1">
      <alignment horizontal="right"/>
    </xf>
    <xf numFmtId="38" fontId="45" fillId="0" borderId="14" xfId="0" applyNumberFormat="1" applyFont="1" applyBorder="1" applyAlignment="1">
      <alignment horizontal="right"/>
    </xf>
    <xf numFmtId="38" fontId="57" fillId="29" borderId="15" xfId="0" applyNumberFormat="1" applyFont="1" applyFill="1" applyBorder="1" applyAlignment="1">
      <alignment horizontal="right"/>
    </xf>
    <xf numFmtId="38" fontId="45" fillId="0" borderId="31" xfId="0" applyNumberFormat="1" applyFont="1" applyBorder="1" applyAlignment="1">
      <alignment horizontal="left"/>
    </xf>
    <xf numFmtId="6" fontId="45" fillId="0" borderId="14" xfId="42" applyNumberFormat="1" applyFont="1" applyBorder="1" applyAlignment="1">
      <alignment horizontal="right"/>
    </xf>
    <xf numFmtId="6" fontId="57" fillId="29" borderId="15" xfId="42" applyNumberFormat="1" applyFont="1" applyFill="1" applyBorder="1" applyAlignment="1">
      <alignment horizontal="right"/>
    </xf>
    <xf numFmtId="6" fontId="45" fillId="0" borderId="31" xfId="0" applyNumberFormat="1" applyFont="1" applyFill="1" applyBorder="1" applyAlignment="1">
      <alignment horizontal="right"/>
    </xf>
    <xf numFmtId="6" fontId="45" fillId="22" borderId="31" xfId="0" applyNumberFormat="1" applyFont="1" applyFill="1" applyBorder="1" applyAlignment="1">
      <alignment horizontal="right"/>
    </xf>
    <xf numFmtId="0" fontId="93" fillId="20" borderId="0" xfId="0" applyFont="1" applyFill="1" applyBorder="1" applyAlignment="1" quotePrefix="1">
      <alignment horizontal="left" wrapText="1"/>
    </xf>
    <xf numFmtId="38" fontId="93" fillId="20" borderId="0" xfId="0" applyNumberFormat="1" applyFont="1" applyFill="1" applyBorder="1" applyAlignment="1">
      <alignment horizontal="center"/>
    </xf>
    <xf numFmtId="6" fontId="93" fillId="20" borderId="0" xfId="0" applyNumberFormat="1" applyFont="1" applyFill="1" applyBorder="1" applyAlignment="1">
      <alignment horizontal="center"/>
    </xf>
    <xf numFmtId="6" fontId="93" fillId="0" borderId="31" xfId="0" applyNumberFormat="1" applyFont="1" applyBorder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0" fillId="0" borderId="99" xfId="0" applyFont="1" applyBorder="1" applyAlignment="1" quotePrefix="1">
      <alignment horizontal="center" wrapText="1"/>
    </xf>
    <xf numFmtId="0" fontId="3" fillId="9" borderId="12" xfId="0" applyFont="1" applyFill="1" applyBorder="1" applyAlignment="1">
      <alignment/>
    </xf>
    <xf numFmtId="0" fontId="18" fillId="4" borderId="14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3" fontId="45" fillId="0" borderId="31" xfId="0" applyNumberFormat="1" applyFont="1" applyFill="1" applyBorder="1" applyAlignment="1">
      <alignment/>
    </xf>
    <xf numFmtId="8" fontId="45" fillId="0" borderId="31" xfId="0" applyNumberFormat="1" applyFont="1" applyBorder="1" applyAlignment="1">
      <alignment/>
    </xf>
    <xf numFmtId="166" fontId="45" fillId="0" borderId="31" xfId="0" applyNumberFormat="1" applyFont="1" applyBorder="1" applyAlignment="1">
      <alignment/>
    </xf>
    <xf numFmtId="166" fontId="45" fillId="0" borderId="31" xfId="42" applyNumberFormat="1" applyFont="1" applyBorder="1" applyAlignment="1">
      <alignment/>
    </xf>
    <xf numFmtId="166" fontId="45" fillId="22" borderId="31" xfId="0" applyNumberFormat="1" applyFont="1" applyFill="1" applyBorder="1" applyAlignment="1">
      <alignment/>
    </xf>
    <xf numFmtId="166" fontId="45" fillId="0" borderId="31" xfId="0" applyNumberFormat="1" applyFont="1" applyFill="1" applyBorder="1" applyAlignment="1">
      <alignment/>
    </xf>
    <xf numFmtId="0" fontId="0" fillId="0" borderId="0" xfId="0" applyBorder="1" applyAlignment="1">
      <alignment horizontal="left" wrapText="1"/>
    </xf>
    <xf numFmtId="166" fontId="45" fillId="0" borderId="14" xfId="0" applyNumberFormat="1" applyFont="1" applyFill="1" applyBorder="1" applyAlignment="1">
      <alignment/>
    </xf>
    <xf numFmtId="166" fontId="45" fillId="20" borderId="57" xfId="0" applyNumberFormat="1" applyFont="1" applyFill="1" applyBorder="1" applyAlignment="1">
      <alignment/>
    </xf>
    <xf numFmtId="6" fontId="43" fillId="22" borderId="155" xfId="0" applyNumberFormat="1" applyFont="1" applyFill="1" applyBorder="1" applyAlignment="1" applyProtection="1">
      <alignment vertical="center"/>
      <protection/>
    </xf>
    <xf numFmtId="8" fontId="0" fillId="0" borderId="0" xfId="0" applyNumberFormat="1" applyAlignment="1">
      <alignment/>
    </xf>
    <xf numFmtId="165" fontId="45" fillId="0" borderId="31" xfId="42" applyNumberFormat="1" applyFont="1" applyBorder="1" applyAlignment="1">
      <alignment horizontal="right"/>
    </xf>
    <xf numFmtId="1" fontId="15" fillId="20" borderId="0" xfId="0" applyNumberFormat="1" applyFont="1" applyFill="1" applyBorder="1" applyAlignment="1" quotePrefix="1">
      <alignment horizontal="right"/>
    </xf>
    <xf numFmtId="1" fontId="15" fillId="20" borderId="0" xfId="0" applyNumberFormat="1" applyFont="1" applyFill="1" applyBorder="1" applyAlignment="1" quotePrefix="1">
      <alignment horizontal="center"/>
    </xf>
    <xf numFmtId="0" fontId="0" fillId="20" borderId="0" xfId="0" applyFill="1" applyAlignment="1">
      <alignment/>
    </xf>
    <xf numFmtId="0" fontId="57" fillId="0" borderId="43" xfId="0" applyFont="1" applyBorder="1" applyAlignment="1">
      <alignment horizontal="left" wrapText="1"/>
    </xf>
    <xf numFmtId="6" fontId="93" fillId="0" borderId="31" xfId="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6" fontId="68" fillId="25" borderId="31" xfId="0" applyNumberFormat="1" applyFont="1" applyFill="1" applyBorder="1" applyAlignment="1">
      <alignment horizontal="center" wrapText="1"/>
    </xf>
    <xf numFmtId="6" fontId="93" fillId="25" borderId="31" xfId="0" applyNumberFormat="1" applyFont="1" applyFill="1" applyBorder="1" applyAlignment="1">
      <alignment horizontal="center"/>
    </xf>
    <xf numFmtId="6" fontId="93" fillId="25" borderId="31" xfId="0" applyNumberFormat="1" applyFont="1" applyFill="1" applyBorder="1" applyAlignment="1">
      <alignment horizontal="center" wrapText="1"/>
    </xf>
    <xf numFmtId="6" fontId="68" fillId="4" borderId="31" xfId="0" applyNumberFormat="1" applyFont="1" applyFill="1" applyBorder="1" applyAlignment="1">
      <alignment horizontal="center"/>
    </xf>
    <xf numFmtId="6" fontId="93" fillId="4" borderId="31" xfId="0" applyNumberFormat="1" applyFont="1" applyFill="1" applyBorder="1" applyAlignment="1">
      <alignment horizontal="center"/>
    </xf>
    <xf numFmtId="6" fontId="68" fillId="0" borderId="31" xfId="0" applyNumberFormat="1" applyFont="1" applyFill="1" applyBorder="1" applyAlignment="1">
      <alignment horizontal="center" wrapText="1"/>
    </xf>
    <xf numFmtId="6" fontId="93" fillId="0" borderId="31" xfId="0" applyNumberFormat="1" applyFont="1" applyFill="1" applyBorder="1" applyAlignment="1">
      <alignment horizontal="center" wrapText="1"/>
    </xf>
    <xf numFmtId="6" fontId="68" fillId="20" borderId="31" xfId="0" applyNumberFormat="1" applyFont="1" applyFill="1" applyBorder="1" applyAlignment="1">
      <alignment horizontal="center" wrapText="1"/>
    </xf>
    <xf numFmtId="6" fontId="93" fillId="20" borderId="31" xfId="0" applyNumberFormat="1" applyFont="1" applyFill="1" applyBorder="1" applyAlignment="1">
      <alignment horizontal="center"/>
    </xf>
    <xf numFmtId="6" fontId="93" fillId="20" borderId="31" xfId="0" applyNumberFormat="1" applyFont="1" applyFill="1" applyBorder="1" applyAlignment="1">
      <alignment horizontal="center" wrapText="1"/>
    </xf>
    <xf numFmtId="38" fontId="0" fillId="0" borderId="0" xfId="0" applyNumberFormat="1" applyFont="1" applyBorder="1" applyAlignment="1">
      <alignment/>
    </xf>
    <xf numFmtId="38" fontId="12" fillId="0" borderId="0" xfId="0" applyNumberFormat="1" applyFont="1" applyFill="1" applyAlignment="1">
      <alignment horizontal="left" vertical="center" wrapText="1"/>
    </xf>
    <xf numFmtId="38" fontId="0" fillId="0" borderId="0" xfId="0" applyNumberFormat="1" applyBorder="1" applyAlignment="1">
      <alignment horizontal="right"/>
    </xf>
    <xf numFmtId="6" fontId="67" fillId="20" borderId="14" xfId="0" applyNumberFormat="1" applyFont="1" applyFill="1" applyBorder="1" applyAlignment="1">
      <alignment horizontal="right" wrapText="1"/>
    </xf>
    <xf numFmtId="8" fontId="57" fillId="0" borderId="31" xfId="0" applyNumberFormat="1" applyFont="1" applyBorder="1" applyAlignment="1">
      <alignment horizontal="right"/>
    </xf>
    <xf numFmtId="8" fontId="67" fillId="20" borderId="31" xfId="0" applyNumberFormat="1" applyFont="1" applyFill="1" applyBorder="1" applyAlignment="1">
      <alignment horizontal="right" wrapText="1"/>
    </xf>
    <xf numFmtId="8" fontId="57" fillId="0" borderId="31" xfId="0" applyNumberFormat="1" applyFont="1" applyBorder="1" applyAlignment="1">
      <alignment horizontal="right"/>
    </xf>
    <xf numFmtId="8" fontId="57" fillId="0" borderId="14" xfId="0" applyNumberFormat="1" applyFont="1" applyBorder="1" applyAlignment="1">
      <alignment horizontal="right"/>
    </xf>
    <xf numFmtId="8" fontId="67" fillId="20" borderId="14" xfId="0" applyNumberFormat="1" applyFont="1" applyFill="1" applyBorder="1" applyAlignment="1">
      <alignment horizontal="right" wrapText="1"/>
    </xf>
    <xf numFmtId="8" fontId="57" fillId="0" borderId="14" xfId="0" applyNumberFormat="1" applyFont="1" applyBorder="1" applyAlignment="1">
      <alignment horizontal="right"/>
    </xf>
    <xf numFmtId="6" fontId="21" fillId="30" borderId="111" xfId="42" applyNumberFormat="1" applyFont="1" applyFill="1" applyBorder="1" applyAlignment="1" applyProtection="1">
      <alignment/>
      <protection/>
    </xf>
    <xf numFmtId="6" fontId="21" fillId="31" borderId="111" xfId="42" applyNumberFormat="1" applyFont="1" applyFill="1" applyBorder="1" applyAlignment="1" applyProtection="1">
      <alignment/>
      <protection/>
    </xf>
    <xf numFmtId="5" fontId="0" fillId="32" borderId="12" xfId="0" applyNumberFormat="1" applyFont="1" applyFill="1" applyBorder="1" applyAlignment="1" applyProtection="1">
      <alignment/>
      <protection/>
    </xf>
    <xf numFmtId="6" fontId="0" fillId="31" borderId="12" xfId="0" applyNumberFormat="1" applyFont="1" applyFill="1" applyBorder="1" applyAlignment="1" applyProtection="1">
      <alignment/>
      <protection/>
    </xf>
    <xf numFmtId="6" fontId="0" fillId="31" borderId="14" xfId="0" applyNumberFormat="1" applyFill="1" applyBorder="1" applyAlignment="1">
      <alignment/>
    </xf>
    <xf numFmtId="6" fontId="21" fillId="31" borderId="13" xfId="0" applyNumberFormat="1" applyFont="1" applyFill="1" applyBorder="1" applyAlignment="1">
      <alignment/>
    </xf>
    <xf numFmtId="6" fontId="0" fillId="0" borderId="14" xfId="0" applyNumberFormat="1" applyFill="1" applyBorder="1" applyAlignment="1">
      <alignment/>
    </xf>
    <xf numFmtId="6" fontId="21" fillId="0" borderId="13" xfId="0" applyNumberFormat="1" applyFont="1" applyFill="1" applyBorder="1" applyAlignment="1">
      <alignment/>
    </xf>
    <xf numFmtId="5" fontId="0" fillId="33" borderId="12" xfId="0" applyNumberFormat="1" applyFont="1" applyFill="1" applyBorder="1" applyAlignment="1" applyProtection="1">
      <alignment/>
      <protection/>
    </xf>
    <xf numFmtId="5" fontId="0" fillId="33" borderId="80" xfId="0" applyNumberFormat="1" applyFont="1" applyFill="1" applyBorder="1" applyAlignment="1" applyProtection="1">
      <alignment/>
      <protection/>
    </xf>
    <xf numFmtId="6" fontId="0" fillId="31" borderId="80" xfId="0" applyNumberFormat="1" applyFont="1" applyFill="1" applyBorder="1" applyAlignment="1" applyProtection="1">
      <alignment/>
      <protection/>
    </xf>
    <xf numFmtId="0" fontId="0" fillId="4" borderId="31" xfId="0" applyFont="1" applyFill="1" applyBorder="1" applyAlignment="1">
      <alignment horizontal="center" vertical="center" wrapText="1"/>
    </xf>
    <xf numFmtId="38" fontId="0" fillId="0" borderId="12" xfId="42" applyNumberFormat="1" applyFont="1" applyBorder="1" applyAlignment="1">
      <alignment/>
    </xf>
    <xf numFmtId="38" fontId="0" fillId="0" borderId="14" xfId="42" applyNumberFormat="1" applyFont="1" applyBorder="1" applyAlignment="1">
      <alignment/>
    </xf>
    <xf numFmtId="38" fontId="0" fillId="0" borderId="11" xfId="0" applyNumberFormat="1" applyFont="1" applyBorder="1" applyAlignment="1" applyProtection="1">
      <alignment/>
      <protection/>
    </xf>
    <xf numFmtId="38" fontId="0" fillId="20" borderId="57" xfId="0" applyNumberFormat="1" applyFont="1" applyFill="1" applyBorder="1" applyAlignment="1">
      <alignment/>
    </xf>
    <xf numFmtId="38" fontId="0" fillId="22" borderId="12" xfId="42" applyNumberFormat="1" applyFont="1" applyFill="1" applyBorder="1" applyAlignment="1">
      <alignment/>
    </xf>
    <xf numFmtId="38" fontId="0" fillId="0" borderId="79" xfId="0" applyNumberFormat="1" applyFont="1" applyFill="1" applyBorder="1" applyAlignment="1" applyProtection="1">
      <alignment horizontal="right"/>
      <protection/>
    </xf>
    <xf numFmtId="38" fontId="0" fillId="22" borderId="12" xfId="0" applyNumberFormat="1" applyFont="1" applyFill="1" applyBorder="1" applyAlignment="1" applyProtection="1">
      <alignment/>
      <protection/>
    </xf>
    <xf numFmtId="38" fontId="0" fillId="0" borderId="12" xfId="0" applyNumberFormat="1" applyFont="1" applyBorder="1" applyAlignment="1" applyProtection="1">
      <alignment/>
      <protection/>
    </xf>
    <xf numFmtId="38" fontId="0" fillId="22" borderId="14" xfId="0" applyNumberFormat="1" applyFont="1" applyFill="1" applyBorder="1" applyAlignment="1" applyProtection="1">
      <alignment/>
      <protection/>
    </xf>
    <xf numFmtId="38" fontId="0" fillId="0" borderId="12" xfId="42" applyNumberFormat="1" applyFont="1" applyBorder="1" applyAlignment="1">
      <alignment/>
    </xf>
    <xf numFmtId="38" fontId="0" fillId="0" borderId="129" xfId="0" applyNumberFormat="1" applyFont="1" applyBorder="1" applyAlignment="1" applyProtection="1">
      <alignment/>
      <protection/>
    </xf>
    <xf numFmtId="38" fontId="0" fillId="22" borderId="11" xfId="0" applyNumberFormat="1" applyFont="1" applyFill="1" applyBorder="1" applyAlignment="1" applyProtection="1">
      <alignment/>
      <protection/>
    </xf>
    <xf numFmtId="10" fontId="0" fillId="4" borderId="31" xfId="0" applyNumberFormat="1" applyFont="1" applyFill="1" applyBorder="1" applyAlignment="1">
      <alignment horizontal="center" vertical="center" wrapText="1"/>
    </xf>
    <xf numFmtId="10" fontId="69" fillId="0" borderId="160" xfId="42" applyNumberFormat="1" applyFont="1" applyBorder="1" applyAlignment="1">
      <alignment/>
    </xf>
    <xf numFmtId="10" fontId="0" fillId="20" borderId="15" xfId="0" applyNumberFormat="1" applyFont="1" applyFill="1" applyBorder="1" applyAlignment="1">
      <alignment/>
    </xf>
    <xf numFmtId="10" fontId="0" fillId="0" borderId="11" xfId="0" applyNumberFormat="1" applyFont="1" applyBorder="1" applyAlignment="1" applyProtection="1">
      <alignment/>
      <protection/>
    </xf>
    <xf numFmtId="10" fontId="0" fillId="0" borderId="11" xfId="0" applyNumberFormat="1" applyFont="1" applyBorder="1" applyAlignment="1">
      <alignment/>
    </xf>
    <xf numFmtId="10" fontId="0" fillId="20" borderId="57" xfId="0" applyNumberFormat="1" applyFont="1" applyFill="1" applyBorder="1" applyAlignment="1">
      <alignment/>
    </xf>
    <xf numFmtId="10" fontId="0" fillId="22" borderId="12" xfId="42" applyNumberFormat="1" applyFont="1" applyFill="1" applyBorder="1" applyAlignment="1">
      <alignment/>
    </xf>
    <xf numFmtId="10" fontId="0" fillId="0" borderId="7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/>
      <protection/>
    </xf>
    <xf numFmtId="10" fontId="0" fillId="0" borderId="12" xfId="0" applyNumberFormat="1" applyFont="1" applyFill="1" applyBorder="1" applyAlignment="1" applyProtection="1">
      <alignment/>
      <protection/>
    </xf>
    <xf numFmtId="10" fontId="0" fillId="0" borderId="14" xfId="0" applyNumberFormat="1" applyFont="1" applyFill="1" applyBorder="1" applyAlignment="1" applyProtection="1">
      <alignment/>
      <protection/>
    </xf>
    <xf numFmtId="10" fontId="0" fillId="0" borderId="12" xfId="0" applyNumberFormat="1" applyFont="1" applyBorder="1" applyAlignment="1" applyProtection="1">
      <alignment/>
      <protection/>
    </xf>
    <xf numFmtId="10" fontId="0" fillId="22" borderId="14" xfId="0" applyNumberFormat="1" applyFont="1" applyFill="1" applyBorder="1" applyAlignment="1" applyProtection="1">
      <alignment/>
      <protection/>
    </xf>
    <xf numFmtId="10" fontId="0" fillId="0" borderId="12" xfId="42" applyNumberFormat="1" applyFont="1" applyBorder="1" applyAlignment="1">
      <alignment/>
    </xf>
    <xf numFmtId="10" fontId="0" fillId="0" borderId="129" xfId="0" applyNumberFormat="1" applyFont="1" applyBorder="1" applyAlignment="1" applyProtection="1">
      <alignment/>
      <protection/>
    </xf>
    <xf numFmtId="10" fontId="0" fillId="22" borderId="11" xfId="0" applyNumberFormat="1" applyFont="1" applyFill="1" applyBorder="1" applyAlignment="1" applyProtection="1">
      <alignment/>
      <protection/>
    </xf>
    <xf numFmtId="38" fontId="0" fillId="20" borderId="15" xfId="0" applyNumberFormat="1" applyFont="1" applyFill="1" applyBorder="1" applyAlignment="1">
      <alignment/>
    </xf>
    <xf numFmtId="38" fontId="0" fillId="0" borderId="0" xfId="0" applyNumberFormat="1" applyFill="1" applyAlignment="1" quotePrefix="1">
      <alignment horizontal="left" wrapText="1"/>
    </xf>
    <xf numFmtId="38" fontId="0" fillId="0" borderId="0" xfId="0" applyNumberFormat="1" applyFont="1" applyAlignment="1">
      <alignment/>
    </xf>
    <xf numFmtId="0" fontId="3" fillId="24" borderId="162" xfId="0" applyFont="1" applyFill="1" applyBorder="1" applyAlignment="1" applyProtection="1">
      <alignment/>
      <protection/>
    </xf>
    <xf numFmtId="0" fontId="21" fillId="24" borderId="163" xfId="0" applyFont="1" applyFill="1" applyBorder="1" applyAlignment="1" applyProtection="1">
      <alignment horizontal="center"/>
      <protection/>
    </xf>
    <xf numFmtId="3" fontId="0" fillId="0" borderId="31" xfId="42" applyNumberFormat="1" applyFont="1" applyBorder="1" applyAlignment="1">
      <alignment/>
    </xf>
    <xf numFmtId="38" fontId="0" fillId="0" borderId="31" xfId="42" applyNumberFormat="1" applyFont="1" applyBorder="1" applyAlignment="1">
      <alignment/>
    </xf>
    <xf numFmtId="10" fontId="0" fillId="0" borderId="31" xfId="42" applyNumberFormat="1" applyFont="1" applyBorder="1" applyAlignment="1">
      <alignment/>
    </xf>
    <xf numFmtId="0" fontId="106" fillId="0" borderId="0" xfId="0" applyFont="1" applyAlignment="1">
      <alignment/>
    </xf>
    <xf numFmtId="6" fontId="0" fillId="0" borderId="12" xfId="0" applyNumberFormat="1" applyFont="1" applyBorder="1" applyAlignment="1" applyProtection="1">
      <alignment/>
      <protection/>
    </xf>
    <xf numFmtId="6" fontId="0" fillId="0" borderId="14" xfId="0" applyNumberFormat="1" applyFont="1" applyFill="1" applyBorder="1" applyAlignment="1" applyProtection="1">
      <alignment/>
      <protection/>
    </xf>
    <xf numFmtId="6" fontId="0" fillId="0" borderId="160" xfId="42" applyNumberFormat="1" applyFont="1" applyBorder="1" applyAlignment="1">
      <alignment horizontal="right"/>
    </xf>
    <xf numFmtId="6" fontId="0" fillId="20" borderId="15" xfId="0" applyNumberFormat="1" applyFont="1" applyFill="1" applyBorder="1" applyAlignment="1">
      <alignment/>
    </xf>
    <xf numFmtId="6" fontId="0" fillId="0" borderId="11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>
      <alignment/>
    </xf>
    <xf numFmtId="6" fontId="0" fillId="20" borderId="57" xfId="0" applyNumberFormat="1" applyFont="1" applyFill="1" applyBorder="1" applyAlignment="1">
      <alignment/>
    </xf>
    <xf numFmtId="6" fontId="0" fillId="22" borderId="12" xfId="42" applyNumberFormat="1" applyFont="1" applyFill="1" applyBorder="1" applyAlignment="1">
      <alignment/>
    </xf>
    <xf numFmtId="6" fontId="0" fillId="0" borderId="79" xfId="0" applyNumberFormat="1" applyFont="1" applyFill="1" applyBorder="1" applyAlignment="1" applyProtection="1">
      <alignment horizontal="right"/>
      <protection/>
    </xf>
    <xf numFmtId="6" fontId="0" fillId="22" borderId="12" xfId="0" applyNumberFormat="1" applyFont="1" applyFill="1" applyBorder="1" applyAlignment="1" applyProtection="1">
      <alignment/>
      <protection/>
    </xf>
    <xf numFmtId="6" fontId="0" fillId="22" borderId="14" xfId="0" applyNumberFormat="1" applyFont="1" applyFill="1" applyBorder="1" applyAlignment="1" applyProtection="1">
      <alignment/>
      <protection/>
    </xf>
    <xf numFmtId="6" fontId="0" fillId="0" borderId="129" xfId="0" applyNumberFormat="1" applyFont="1" applyBorder="1" applyAlignment="1" applyProtection="1">
      <alignment/>
      <protection/>
    </xf>
    <xf numFmtId="6" fontId="0" fillId="22" borderId="11" xfId="0" applyNumberFormat="1" applyFont="1" applyFill="1" applyBorder="1" applyAlignment="1" applyProtection="1">
      <alignment/>
      <protection/>
    </xf>
    <xf numFmtId="6" fontId="0" fillId="0" borderId="31" xfId="42" applyNumberFormat="1" applyFont="1" applyBorder="1" applyAlignment="1">
      <alignment/>
    </xf>
    <xf numFmtId="6" fontId="0" fillId="0" borderId="0" xfId="0" applyNumberFormat="1" applyFill="1" applyAlignment="1" quotePrefix="1">
      <alignment horizontal="left" wrapText="1"/>
    </xf>
    <xf numFmtId="166" fontId="0" fillId="0" borderId="12" xfId="0" applyNumberFormat="1" applyFont="1" applyBorder="1" applyAlignment="1" applyProtection="1">
      <alignment/>
      <protection/>
    </xf>
    <xf numFmtId="166" fontId="0" fillId="0" borderId="12" xfId="0" applyNumberFormat="1" applyFont="1" applyFill="1" applyBorder="1" applyAlignment="1" applyProtection="1">
      <alignment/>
      <protection/>
    </xf>
    <xf numFmtId="166" fontId="0" fillId="0" borderId="14" xfId="0" applyNumberFormat="1" applyFont="1" applyFill="1" applyBorder="1" applyAlignment="1" applyProtection="1">
      <alignment/>
      <protection/>
    </xf>
    <xf numFmtId="166" fontId="0" fillId="0" borderId="160" xfId="42" applyNumberFormat="1" applyFont="1" applyBorder="1" applyAlignment="1">
      <alignment horizontal="right"/>
    </xf>
    <xf numFmtId="166" fontId="0" fillId="20" borderId="15" xfId="0" applyNumberFormat="1" applyFont="1" applyFill="1" applyBorder="1" applyAlignment="1">
      <alignment/>
    </xf>
    <xf numFmtId="166" fontId="0" fillId="0" borderId="11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>
      <alignment/>
    </xf>
    <xf numFmtId="166" fontId="0" fillId="20" borderId="57" xfId="0" applyNumberFormat="1" applyFont="1" applyFill="1" applyBorder="1" applyAlignment="1">
      <alignment/>
    </xf>
    <xf numFmtId="166" fontId="0" fillId="0" borderId="79" xfId="0" applyNumberFormat="1" applyFont="1" applyFill="1" applyBorder="1" applyAlignment="1" applyProtection="1">
      <alignment horizontal="right"/>
      <protection/>
    </xf>
    <xf numFmtId="166" fontId="0" fillId="22" borderId="12" xfId="0" applyNumberFormat="1" applyFont="1" applyFill="1" applyBorder="1" applyAlignment="1" applyProtection="1">
      <alignment/>
      <protection/>
    </xf>
    <xf numFmtId="166" fontId="0" fillId="22" borderId="14" xfId="0" applyNumberFormat="1" applyFont="1" applyFill="1" applyBorder="1" applyAlignment="1" applyProtection="1">
      <alignment/>
      <protection/>
    </xf>
    <xf numFmtId="166" fontId="0" fillId="0" borderId="129" xfId="0" applyNumberFormat="1" applyFont="1" applyBorder="1" applyAlignment="1" applyProtection="1">
      <alignment/>
      <protection/>
    </xf>
    <xf numFmtId="166" fontId="0" fillId="22" borderId="11" xfId="0" applyNumberFormat="1" applyFont="1" applyFill="1" applyBorder="1" applyAlignment="1" applyProtection="1">
      <alignment/>
      <protection/>
    </xf>
    <xf numFmtId="166" fontId="0" fillId="0" borderId="31" xfId="42" applyNumberFormat="1" applyFont="1" applyBorder="1" applyAlignment="1">
      <alignment/>
    </xf>
    <xf numFmtId="166" fontId="0" fillId="0" borderId="0" xfId="0" applyNumberFormat="1" applyFill="1" applyAlignment="1" quotePrefix="1">
      <alignment horizontal="left" wrapText="1"/>
    </xf>
    <xf numFmtId="6" fontId="0" fillId="7" borderId="12" xfId="0" applyNumberFormat="1" applyFont="1" applyFill="1" applyBorder="1" applyAlignment="1" applyProtection="1">
      <alignment/>
      <protection/>
    </xf>
    <xf numFmtId="38" fontId="0" fillId="33" borderId="12" xfId="0" applyNumberFormat="1" applyFont="1" applyFill="1" applyBorder="1" applyAlignment="1" applyProtection="1">
      <alignment/>
      <protection/>
    </xf>
    <xf numFmtId="38" fontId="0" fillId="33" borderId="14" xfId="0" applyNumberFormat="1" applyFont="1" applyFill="1" applyBorder="1" applyAlignment="1" applyProtection="1">
      <alignment/>
      <protection/>
    </xf>
    <xf numFmtId="38" fontId="0" fillId="33" borderId="160" xfId="42" applyNumberFormat="1" applyFont="1" applyFill="1" applyBorder="1" applyAlignment="1">
      <alignment horizontal="right"/>
    </xf>
    <xf numFmtId="38" fontId="0" fillId="33" borderId="11" xfId="0" applyNumberFormat="1" applyFont="1" applyFill="1" applyBorder="1" applyAlignment="1" applyProtection="1">
      <alignment/>
      <protection/>
    </xf>
    <xf numFmtId="38" fontId="0" fillId="33" borderId="11" xfId="0" applyNumberFormat="1" applyFont="1" applyFill="1" applyBorder="1" applyAlignment="1">
      <alignment/>
    </xf>
    <xf numFmtId="38" fontId="0" fillId="33" borderId="79" xfId="0" applyNumberFormat="1" applyFont="1" applyFill="1" applyBorder="1" applyAlignment="1" applyProtection="1">
      <alignment horizontal="right"/>
      <protection/>
    </xf>
    <xf numFmtId="38" fontId="0" fillId="33" borderId="12" xfId="42" applyNumberFormat="1" applyFont="1" applyFill="1" applyBorder="1" applyAlignment="1">
      <alignment/>
    </xf>
    <xf numFmtId="38" fontId="0" fillId="33" borderId="129" xfId="0" applyNumberFormat="1" applyFont="1" applyFill="1" applyBorder="1" applyAlignment="1" applyProtection="1">
      <alignment/>
      <protection/>
    </xf>
    <xf numFmtId="38" fontId="0" fillId="33" borderId="31" xfId="42" applyNumberFormat="1" applyFont="1" applyFill="1" applyBorder="1" applyAlignment="1">
      <alignment/>
    </xf>
    <xf numFmtId="6" fontId="0" fillId="33" borderId="12" xfId="0" applyNumberFormat="1" applyFont="1" applyFill="1" applyBorder="1" applyAlignment="1" applyProtection="1">
      <alignment/>
      <protection/>
    </xf>
    <xf numFmtId="6" fontId="0" fillId="33" borderId="14" xfId="0" applyNumberFormat="1" applyFont="1" applyFill="1" applyBorder="1" applyAlignment="1" applyProtection="1">
      <alignment/>
      <protection/>
    </xf>
    <xf numFmtId="6" fontId="0" fillId="33" borderId="160" xfId="42" applyNumberFormat="1" applyFont="1" applyFill="1" applyBorder="1" applyAlignment="1">
      <alignment horizontal="right"/>
    </xf>
    <xf numFmtId="6" fontId="0" fillId="33" borderId="11" xfId="0" applyNumberFormat="1" applyFont="1" applyFill="1" applyBorder="1" applyAlignment="1" applyProtection="1">
      <alignment/>
      <protection/>
    </xf>
    <xf numFmtId="6" fontId="0" fillId="33" borderId="79" xfId="0" applyNumberFormat="1" applyFont="1" applyFill="1" applyBorder="1" applyAlignment="1" applyProtection="1">
      <alignment horizontal="right"/>
      <protection/>
    </xf>
    <xf numFmtId="6" fontId="0" fillId="33" borderId="12" xfId="42" applyNumberFormat="1" applyFont="1" applyFill="1" applyBorder="1" applyAlignment="1">
      <alignment/>
    </xf>
    <xf numFmtId="6" fontId="0" fillId="33" borderId="129" xfId="0" applyNumberFormat="1" applyFont="1" applyFill="1" applyBorder="1" applyAlignment="1" applyProtection="1">
      <alignment/>
      <protection/>
    </xf>
    <xf numFmtId="6" fontId="0" fillId="33" borderId="31" xfId="42" applyNumberFormat="1" applyFont="1" applyFill="1" applyBorder="1" applyAlignment="1">
      <alignment/>
    </xf>
    <xf numFmtId="0" fontId="11" fillId="0" borderId="0" xfId="0" applyFont="1" applyAlignment="1">
      <alignment/>
    </xf>
    <xf numFmtId="38" fontId="15" fillId="3" borderId="31" xfId="42" applyNumberFormat="1" applyFont="1" applyFill="1" applyBorder="1" applyAlignment="1" quotePrefix="1">
      <alignment horizontal="center"/>
    </xf>
    <xf numFmtId="0" fontId="96" fillId="3" borderId="31" xfId="42" applyNumberFormat="1" applyFont="1" applyFill="1" applyBorder="1" applyAlignment="1" quotePrefix="1">
      <alignment horizontal="center" wrapText="1"/>
    </xf>
    <xf numFmtId="0" fontId="96" fillId="3" borderId="31" xfId="42" applyNumberFormat="1" applyFont="1" applyFill="1" applyBorder="1" applyAlignment="1" quotePrefix="1">
      <alignment horizontal="center"/>
    </xf>
    <xf numFmtId="38" fontId="96" fillId="3" borderId="31" xfId="42" applyNumberFormat="1" applyFont="1" applyFill="1" applyBorder="1" applyAlignment="1" quotePrefix="1">
      <alignment horizontal="center"/>
    </xf>
    <xf numFmtId="6" fontId="96" fillId="3" borderId="31" xfId="42" applyNumberFormat="1" applyFont="1" applyFill="1" applyBorder="1" applyAlignment="1" quotePrefix="1">
      <alignment horizontal="center" wrapText="1"/>
    </xf>
    <xf numFmtId="166" fontId="96" fillId="3" borderId="31" xfId="42" applyNumberFormat="1" applyFont="1" applyFill="1" applyBorder="1" applyAlignment="1" quotePrefix="1">
      <alignment horizontal="center" wrapText="1"/>
    </xf>
    <xf numFmtId="6" fontId="0" fillId="33" borderId="41" xfId="0" applyNumberFormat="1" applyFont="1" applyFill="1" applyBorder="1" applyAlignment="1" applyProtection="1">
      <alignment/>
      <protection/>
    </xf>
    <xf numFmtId="6" fontId="0" fillId="33" borderId="41" xfId="0" applyNumberFormat="1" applyFont="1" applyFill="1" applyBorder="1" applyAlignment="1">
      <alignment/>
    </xf>
    <xf numFmtId="38" fontId="0" fillId="31" borderId="160" xfId="42" applyNumberFormat="1" applyFont="1" applyFill="1" applyBorder="1" applyAlignment="1">
      <alignment horizontal="right"/>
    </xf>
    <xf numFmtId="38" fontId="0" fillId="31" borderId="12" xfId="42" applyNumberFormat="1" applyFont="1" applyFill="1" applyBorder="1" applyAlignment="1">
      <alignment/>
    </xf>
    <xf numFmtId="38" fontId="0" fillId="31" borderId="12" xfId="0" applyNumberFormat="1" applyFont="1" applyFill="1" applyBorder="1" applyAlignment="1" applyProtection="1">
      <alignment/>
      <protection/>
    </xf>
    <xf numFmtId="38" fontId="0" fillId="31" borderId="14" xfId="0" applyNumberFormat="1" applyFont="1" applyFill="1" applyBorder="1" applyAlignment="1" applyProtection="1">
      <alignment/>
      <protection/>
    </xf>
    <xf numFmtId="38" fontId="0" fillId="31" borderId="15" xfId="0" applyNumberFormat="1" applyFont="1" applyFill="1" applyBorder="1" applyAlignment="1">
      <alignment/>
    </xf>
    <xf numFmtId="38" fontId="0" fillId="31" borderId="11" xfId="0" applyNumberFormat="1" applyFont="1" applyFill="1" applyBorder="1" applyAlignment="1" applyProtection="1">
      <alignment/>
      <protection/>
    </xf>
    <xf numFmtId="38" fontId="0" fillId="31" borderId="11" xfId="0" applyNumberFormat="1" applyFont="1" applyFill="1" applyBorder="1" applyAlignment="1">
      <alignment/>
    </xf>
    <xf numFmtId="38" fontId="0" fillId="31" borderId="57" xfId="0" applyNumberFormat="1" applyFont="1" applyFill="1" applyBorder="1" applyAlignment="1">
      <alignment/>
    </xf>
    <xf numFmtId="38" fontId="0" fillId="31" borderId="79" xfId="0" applyNumberFormat="1" applyFont="1" applyFill="1" applyBorder="1" applyAlignment="1" applyProtection="1">
      <alignment horizontal="right"/>
      <protection/>
    </xf>
    <xf numFmtId="38" fontId="0" fillId="31" borderId="129" xfId="0" applyNumberFormat="1" applyFont="1" applyFill="1" applyBorder="1" applyAlignment="1" applyProtection="1">
      <alignment/>
      <protection/>
    </xf>
    <xf numFmtId="38" fontId="0" fillId="31" borderId="31" xfId="42" applyNumberFormat="1" applyFont="1" applyFill="1" applyBorder="1" applyAlignment="1">
      <alignment/>
    </xf>
    <xf numFmtId="6" fontId="0" fillId="0" borderId="14" xfId="0" applyNumberFormat="1" applyFont="1" applyBorder="1" applyAlignment="1" applyProtection="1">
      <alignment/>
      <protection/>
    </xf>
    <xf numFmtId="166" fontId="0" fillId="0" borderId="14" xfId="0" applyNumberFormat="1" applyFont="1" applyBorder="1" applyAlignment="1" applyProtection="1">
      <alignment/>
      <protection/>
    </xf>
    <xf numFmtId="3" fontId="0" fillId="0" borderId="31" xfId="0" applyNumberFormat="1" applyFont="1" applyBorder="1" applyAlignment="1">
      <alignment/>
    </xf>
    <xf numFmtId="38" fontId="0" fillId="0" borderId="31" xfId="0" applyNumberFormat="1" applyFont="1" applyBorder="1" applyAlignment="1">
      <alignment/>
    </xf>
    <xf numFmtId="10" fontId="0" fillId="0" borderId="31" xfId="0" applyNumberFormat="1" applyFont="1" applyBorder="1" applyAlignment="1">
      <alignment/>
    </xf>
    <xf numFmtId="38" fontId="0" fillId="33" borderId="31" xfId="0" applyNumberFormat="1" applyFont="1" applyFill="1" applyBorder="1" applyAlignment="1">
      <alignment/>
    </xf>
    <xf numFmtId="6" fontId="0" fillId="0" borderId="31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6" fontId="0" fillId="33" borderId="44" xfId="0" applyNumberFormat="1" applyFont="1" applyFill="1" applyBorder="1" applyAlignment="1">
      <alignment/>
    </xf>
    <xf numFmtId="38" fontId="0" fillId="31" borderId="31" xfId="0" applyNumberFormat="1" applyFont="1" applyFill="1" applyBorder="1" applyAlignment="1">
      <alignment/>
    </xf>
    <xf numFmtId="8" fontId="57" fillId="0" borderId="31" xfId="0" applyNumberFormat="1" applyFont="1" applyFill="1" applyBorder="1" applyAlignment="1">
      <alignment/>
    </xf>
    <xf numFmtId="0" fontId="57" fillId="0" borderId="14" xfId="0" applyFont="1" applyBorder="1" applyAlignment="1">
      <alignment wrapText="1"/>
    </xf>
    <xf numFmtId="166" fontId="57" fillId="0" borderId="14" xfId="0" applyNumberFormat="1" applyFont="1" applyFill="1" applyBorder="1" applyAlignment="1">
      <alignment/>
    </xf>
    <xf numFmtId="38" fontId="57" fillId="0" borderId="31" xfId="0" applyNumberFormat="1" applyFont="1" applyBorder="1" applyAlignment="1">
      <alignment/>
    </xf>
    <xf numFmtId="166" fontId="57" fillId="22" borderId="14" xfId="0" applyNumberFormat="1" applyFont="1" applyFill="1" applyBorder="1" applyAlignment="1">
      <alignment/>
    </xf>
    <xf numFmtId="6" fontId="45" fillId="22" borderId="14" xfId="0" applyNumberFormat="1" applyFont="1" applyFill="1" applyBorder="1" applyAlignment="1">
      <alignment/>
    </xf>
    <xf numFmtId="6" fontId="57" fillId="31" borderId="14" xfId="0" applyNumberFormat="1" applyFont="1" applyFill="1" applyBorder="1" applyAlignment="1">
      <alignment/>
    </xf>
    <xf numFmtId="6" fontId="45" fillId="31" borderId="31" xfId="0" applyNumberFormat="1" applyFont="1" applyFill="1" applyBorder="1" applyAlignment="1">
      <alignment/>
    </xf>
    <xf numFmtId="6" fontId="57" fillId="31" borderId="31" xfId="0" applyNumberFormat="1" applyFont="1" applyFill="1" applyBorder="1" applyAlignment="1">
      <alignment/>
    </xf>
    <xf numFmtId="6" fontId="45" fillId="0" borderId="31" xfId="0" applyNumberFormat="1" applyFont="1" applyFill="1" applyBorder="1" applyAlignment="1">
      <alignment/>
    </xf>
    <xf numFmtId="0" fontId="62" fillId="0" borderId="43" xfId="0" applyFont="1" applyFill="1" applyBorder="1" applyAlignment="1" applyProtection="1">
      <alignment vertical="center" wrapText="1"/>
      <protection/>
    </xf>
    <xf numFmtId="0" fontId="62" fillId="0" borderId="15" xfId="0" applyFont="1" applyFill="1" applyBorder="1" applyAlignment="1" applyProtection="1">
      <alignment vertical="center" wrapText="1"/>
      <protection/>
    </xf>
    <xf numFmtId="6" fontId="57" fillId="31" borderId="14" xfId="0" applyNumberFormat="1" applyFont="1" applyFill="1" applyBorder="1" applyAlignment="1">
      <alignment horizontal="right"/>
    </xf>
    <xf numFmtId="6" fontId="57" fillId="31" borderId="14" xfId="0" applyNumberFormat="1" applyFont="1" applyFill="1" applyBorder="1" applyAlignment="1">
      <alignment horizontal="right"/>
    </xf>
    <xf numFmtId="6" fontId="45" fillId="31" borderId="14" xfId="0" applyNumberFormat="1" applyFont="1" applyFill="1" applyBorder="1" applyAlignment="1">
      <alignment horizontal="right"/>
    </xf>
    <xf numFmtId="6" fontId="45" fillId="31" borderId="31" xfId="0" applyNumberFormat="1" applyFont="1" applyFill="1" applyBorder="1" applyAlignment="1">
      <alignment horizontal="right"/>
    </xf>
    <xf numFmtId="1" fontId="0" fillId="3" borderId="72" xfId="0" applyNumberFormat="1" applyFont="1" applyFill="1" applyBorder="1" applyAlignment="1" applyProtection="1">
      <alignment horizontal="center" vertical="center"/>
      <protection/>
    </xf>
    <xf numFmtId="1" fontId="3" fillId="3" borderId="91" xfId="0" applyNumberFormat="1" applyFont="1" applyFill="1" applyBorder="1" applyAlignment="1" applyProtection="1">
      <alignment horizontal="center" vertical="center"/>
      <protection/>
    </xf>
    <xf numFmtId="1" fontId="15" fillId="3" borderId="8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5" fontId="6" fillId="0" borderId="27" xfId="0" applyNumberFormat="1" applyFont="1" applyFill="1" applyBorder="1" applyAlignment="1" applyProtection="1">
      <alignment/>
      <protection/>
    </xf>
    <xf numFmtId="0" fontId="0" fillId="34" borderId="107" xfId="0" applyFont="1" applyFill="1" applyBorder="1" applyAlignment="1" applyProtection="1">
      <alignment/>
      <protection/>
    </xf>
    <xf numFmtId="0" fontId="0" fillId="34" borderId="14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38" fontId="0" fillId="34" borderId="14" xfId="0" applyNumberFormat="1" applyFont="1" applyFill="1" applyBorder="1" applyAlignment="1" applyProtection="1">
      <alignment/>
      <protection/>
    </xf>
    <xf numFmtId="10" fontId="0" fillId="34" borderId="14" xfId="0" applyNumberFormat="1" applyFont="1" applyFill="1" applyBorder="1" applyAlignment="1" applyProtection="1">
      <alignment/>
      <protection/>
    </xf>
    <xf numFmtId="6" fontId="0" fillId="34" borderId="14" xfId="0" applyNumberFormat="1" applyFont="1" applyFill="1" applyBorder="1" applyAlignment="1" applyProtection="1">
      <alignment/>
      <protection/>
    </xf>
    <xf numFmtId="166" fontId="0" fillId="34" borderId="14" xfId="0" applyNumberFormat="1" applyFont="1" applyFill="1" applyBorder="1" applyAlignment="1" applyProtection="1">
      <alignment/>
      <protection/>
    </xf>
    <xf numFmtId="38" fontId="93" fillId="0" borderId="31" xfId="0" applyNumberFormat="1" applyFont="1" applyFill="1" applyBorder="1" applyAlignment="1">
      <alignment horizontal="center"/>
    </xf>
    <xf numFmtId="6" fontId="68" fillId="31" borderId="31" xfId="0" applyNumberFormat="1" applyFont="1" applyFill="1" applyBorder="1" applyAlignment="1">
      <alignment horizontal="center"/>
    </xf>
    <xf numFmtId="6" fontId="93" fillId="31" borderId="31" xfId="0" applyNumberFormat="1" applyFont="1" applyFill="1" applyBorder="1" applyAlignment="1">
      <alignment horizontal="center"/>
    </xf>
    <xf numFmtId="6" fontId="93" fillId="31" borderId="0" xfId="0" applyNumberFormat="1" applyFont="1" applyFill="1" applyBorder="1" applyAlignment="1">
      <alignment horizontal="center"/>
    </xf>
    <xf numFmtId="0" fontId="68" fillId="31" borderId="31" xfId="0" applyFont="1" applyFill="1" applyBorder="1" applyAlignment="1">
      <alignment horizontal="center" wrapText="1"/>
    </xf>
    <xf numFmtId="0" fontId="68" fillId="31" borderId="31" xfId="0" applyFont="1" applyFill="1" applyBorder="1" applyAlignment="1" quotePrefix="1">
      <alignment horizontal="center" wrapText="1"/>
    </xf>
    <xf numFmtId="0" fontId="68" fillId="20" borderId="0" xfId="0" applyFont="1" applyFill="1" applyBorder="1" applyAlignment="1" quotePrefix="1">
      <alignment horizontal="center" wrapText="1"/>
    </xf>
    <xf numFmtId="5" fontId="0" fillId="0" borderId="0" xfId="0" applyNumberFormat="1" applyAlignment="1">
      <alignment horizontal="center" vertical="center"/>
    </xf>
    <xf numFmtId="5" fontId="0" fillId="0" borderId="0" xfId="0" applyNumberFormat="1" applyBorder="1" applyAlignment="1">
      <alignment/>
    </xf>
    <xf numFmtId="38" fontId="69" fillId="0" borderId="160" xfId="42" applyNumberFormat="1" applyFont="1" applyBorder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38" fontId="68" fillId="0" borderId="31" xfId="0" applyNumberFormat="1" applyFont="1" applyFill="1" applyBorder="1" applyAlignment="1">
      <alignment horizontal="center" wrapText="1"/>
    </xf>
    <xf numFmtId="1" fontId="107" fillId="35" borderId="31" xfId="0" applyNumberFormat="1" applyFont="1" applyFill="1" applyBorder="1" applyAlignment="1">
      <alignment horizontal="left" wrapText="1"/>
    </xf>
    <xf numFmtId="1" fontId="107" fillId="35" borderId="31" xfId="0" applyNumberFormat="1" applyFont="1" applyFill="1" applyBorder="1" applyAlignment="1">
      <alignment horizontal="center"/>
    </xf>
    <xf numFmtId="0" fontId="93" fillId="4" borderId="31" xfId="0" applyFont="1" applyFill="1" applyBorder="1" applyAlignment="1">
      <alignment horizontal="right" wrapText="1"/>
    </xf>
    <xf numFmtId="0" fontId="93" fillId="0" borderId="0" xfId="0" applyFont="1" applyBorder="1" applyAlignment="1">
      <alignment/>
    </xf>
    <xf numFmtId="0" fontId="91" fillId="0" borderId="0" xfId="0" applyFont="1" applyFill="1" applyBorder="1" applyAlignment="1">
      <alignment/>
    </xf>
    <xf numFmtId="0" fontId="92" fillId="35" borderId="31" xfId="0" applyFont="1" applyFill="1" applyBorder="1" applyAlignment="1">
      <alignment horizontal="center" vertical="center"/>
    </xf>
    <xf numFmtId="0" fontId="68" fillId="4" borderId="31" xfId="0" applyFont="1" applyFill="1" applyBorder="1" applyAlignment="1">
      <alignment horizontal="left" wrapText="1"/>
    </xf>
    <xf numFmtId="6" fontId="68" fillId="0" borderId="0" xfId="0" applyNumberFormat="1" applyFont="1" applyFill="1" applyBorder="1" applyAlignment="1">
      <alignment horizontal="center"/>
    </xf>
    <xf numFmtId="166" fontId="68" fillId="25" borderId="14" xfId="0" applyNumberFormat="1" applyFont="1" applyFill="1" applyBorder="1" applyAlignment="1">
      <alignment horizontal="center" wrapText="1"/>
    </xf>
    <xf numFmtId="6" fontId="0" fillId="0" borderId="44" xfId="0" applyNumberFormat="1" applyFont="1" applyBorder="1" applyAlignment="1">
      <alignment/>
    </xf>
    <xf numFmtId="6" fontId="0" fillId="0" borderId="41" xfId="0" applyNumberFormat="1" applyFont="1" applyBorder="1" applyAlignment="1">
      <alignment/>
    </xf>
    <xf numFmtId="0" fontId="96" fillId="3" borderId="31" xfId="42" applyNumberFormat="1" applyFont="1" applyFill="1" applyBorder="1" applyAlignment="1">
      <alignment horizontal="center" wrapText="1"/>
    </xf>
    <xf numFmtId="6" fontId="96" fillId="3" borderId="31" xfId="42" applyNumberFormat="1" applyFont="1" applyFill="1" applyBorder="1" applyAlignment="1">
      <alignment horizontal="center" wrapText="1"/>
    </xf>
    <xf numFmtId="0" fontId="3" fillId="24" borderId="163" xfId="0" applyFont="1" applyFill="1" applyBorder="1" applyAlignment="1" applyProtection="1">
      <alignment/>
      <protection/>
    </xf>
    <xf numFmtId="3" fontId="0" fillId="36" borderId="12" xfId="0" applyNumberFormat="1" applyFont="1" applyFill="1" applyBorder="1" applyAlignment="1" applyProtection="1">
      <alignment/>
      <protection/>
    </xf>
    <xf numFmtId="3" fontId="0" fillId="36" borderId="14" xfId="0" applyNumberFormat="1" applyFont="1" applyFill="1" applyBorder="1" applyAlignment="1" applyProtection="1">
      <alignment/>
      <protection/>
    </xf>
    <xf numFmtId="38" fontId="0" fillId="36" borderId="160" xfId="42" applyNumberFormat="1" applyFont="1" applyFill="1" applyBorder="1" applyAlignment="1">
      <alignment horizontal="right"/>
    </xf>
    <xf numFmtId="3" fontId="0" fillId="36" borderId="11" xfId="0" applyNumberFormat="1" applyFont="1" applyFill="1" applyBorder="1" applyAlignment="1" applyProtection="1">
      <alignment/>
      <protection/>
    </xf>
    <xf numFmtId="3" fontId="0" fillId="36" borderId="31" xfId="0" applyNumberFormat="1" applyFont="1" applyFill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79" xfId="0" applyNumberFormat="1" applyFont="1" applyFill="1" applyBorder="1" applyAlignment="1" applyProtection="1">
      <alignment horizontal="right"/>
      <protection/>
    </xf>
    <xf numFmtId="3" fontId="0" fillId="36" borderId="31" xfId="42" applyNumberFormat="1" applyFont="1" applyFill="1" applyBorder="1" applyAlignment="1">
      <alignment/>
    </xf>
    <xf numFmtId="3" fontId="0" fillId="36" borderId="57" xfId="0" applyNumberFormat="1" applyFont="1" applyFill="1" applyBorder="1" applyAlignment="1">
      <alignment/>
    </xf>
    <xf numFmtId="38" fontId="0" fillId="36" borderId="12" xfId="42" applyNumberFormat="1" applyFont="1" applyFill="1" applyBorder="1" applyAlignment="1">
      <alignment/>
    </xf>
    <xf numFmtId="3" fontId="0" fillId="36" borderId="129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0" fontId="0" fillId="37" borderId="0" xfId="0" applyNumberFormat="1" applyFill="1" applyAlignment="1">
      <alignment/>
    </xf>
    <xf numFmtId="6" fontId="0" fillId="37" borderId="0" xfId="0" applyNumberFormat="1" applyFont="1" applyFill="1" applyAlignment="1">
      <alignment/>
    </xf>
    <xf numFmtId="166" fontId="0" fillId="37" borderId="0" xfId="0" applyNumberFormat="1" applyFont="1" applyFill="1" applyAlignment="1">
      <alignment/>
    </xf>
    <xf numFmtId="6" fontId="68" fillId="30" borderId="31" xfId="0" applyNumberFormat="1" applyFont="1" applyFill="1" applyBorder="1" applyAlignment="1">
      <alignment horizontal="center"/>
    </xf>
    <xf numFmtId="6" fontId="93" fillId="30" borderId="31" xfId="0" applyNumberFormat="1" applyFont="1" applyFill="1" applyBorder="1" applyAlignment="1">
      <alignment horizontal="center"/>
    </xf>
    <xf numFmtId="6" fontId="93" fillId="30" borderId="0" xfId="0" applyNumberFormat="1" applyFont="1" applyFill="1" applyBorder="1" applyAlignment="1">
      <alignment horizontal="center"/>
    </xf>
    <xf numFmtId="6" fontId="68" fillId="30" borderId="31" xfId="0" applyNumberFormat="1" applyFont="1" applyFill="1" applyBorder="1" applyAlignment="1">
      <alignment horizontal="center" wrapText="1"/>
    </xf>
    <xf numFmtId="0" fontId="21" fillId="4" borderId="12" xfId="0" applyFont="1" applyFill="1" applyBorder="1" applyAlignment="1">
      <alignment horizontal="center" vertical="center" wrapText="1"/>
    </xf>
    <xf numFmtId="6" fontId="68" fillId="33" borderId="31" xfId="0" applyNumberFormat="1" applyFont="1" applyFill="1" applyBorder="1" applyAlignment="1">
      <alignment horizontal="center"/>
    </xf>
    <xf numFmtId="6" fontId="93" fillId="33" borderId="31" xfId="0" applyNumberFormat="1" applyFont="1" applyFill="1" applyBorder="1" applyAlignment="1">
      <alignment horizontal="center"/>
    </xf>
    <xf numFmtId="1" fontId="107" fillId="33" borderId="31" xfId="0" applyNumberFormat="1" applyFont="1" applyFill="1" applyBorder="1" applyAlignment="1">
      <alignment horizontal="center"/>
    </xf>
    <xf numFmtId="6" fontId="68" fillId="38" borderId="31" xfId="0" applyNumberFormat="1" applyFont="1" applyFill="1" applyBorder="1" applyAlignment="1">
      <alignment horizontal="center"/>
    </xf>
    <xf numFmtId="0" fontId="108" fillId="4" borderId="14" xfId="0" applyFont="1" applyFill="1" applyBorder="1" applyAlignment="1">
      <alignment horizontal="center" vertical="center" wrapText="1"/>
    </xf>
    <xf numFmtId="0" fontId="21" fillId="39" borderId="1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38" fontId="68" fillId="31" borderId="31" xfId="0" applyNumberFormat="1" applyFont="1" applyFill="1" applyBorder="1" applyAlignment="1">
      <alignment horizontal="center"/>
    </xf>
    <xf numFmtId="6" fontId="68" fillId="31" borderId="31" xfId="0" applyNumberFormat="1" applyFont="1" applyFill="1" applyBorder="1" applyAlignment="1">
      <alignment horizontal="center" wrapText="1"/>
    </xf>
    <xf numFmtId="6" fontId="93" fillId="31" borderId="31" xfId="0" applyNumberFormat="1" applyFont="1" applyFill="1" applyBorder="1" applyAlignment="1">
      <alignment horizontal="center" wrapText="1"/>
    </xf>
    <xf numFmtId="6" fontId="91" fillId="0" borderId="52" xfId="0" applyNumberFormat="1" applyFont="1" applyBorder="1" applyAlignment="1">
      <alignment/>
    </xf>
    <xf numFmtId="6" fontId="91" fillId="0" borderId="99" xfId="0" applyNumberFormat="1" applyFont="1" applyBorder="1" applyAlignment="1">
      <alignment/>
    </xf>
    <xf numFmtId="6" fontId="91" fillId="0" borderId="15" xfId="0" applyNumberFormat="1" applyFont="1" applyBorder="1" applyAlignment="1">
      <alignment/>
    </xf>
    <xf numFmtId="6" fontId="0" fillId="40" borderId="12" xfId="0" applyNumberFormat="1" applyFont="1" applyFill="1" applyBorder="1" applyAlignment="1" applyProtection="1">
      <alignment/>
      <protection/>
    </xf>
    <xf numFmtId="6" fontId="0" fillId="40" borderId="80" xfId="0" applyNumberFormat="1" applyFont="1" applyFill="1" applyBorder="1" applyAlignment="1" applyProtection="1">
      <alignment/>
      <protection/>
    </xf>
    <xf numFmtId="6" fontId="0" fillId="40" borderId="79" xfId="0" applyNumberFormat="1" applyFont="1" applyFill="1" applyBorder="1" applyAlignment="1" applyProtection="1">
      <alignment/>
      <protection/>
    </xf>
    <xf numFmtId="6" fontId="21" fillId="40" borderId="111" xfId="42" applyNumberFormat="1" applyFont="1" applyFill="1" applyBorder="1" applyAlignment="1" applyProtection="1">
      <alignment/>
      <protection/>
    </xf>
    <xf numFmtId="0" fontId="68" fillId="31" borderId="0" xfId="0" applyFont="1" applyFill="1" applyBorder="1" applyAlignment="1" quotePrefix="1">
      <alignment horizontal="center" wrapText="1"/>
    </xf>
    <xf numFmtId="38" fontId="93" fillId="31" borderId="0" xfId="0" applyNumberFormat="1" applyFont="1" applyFill="1" applyBorder="1" applyAlignment="1">
      <alignment horizontal="center"/>
    </xf>
    <xf numFmtId="0" fontId="91" fillId="0" borderId="0" xfId="0" applyFont="1" applyBorder="1" applyAlignment="1">
      <alignment horizontal="right"/>
    </xf>
    <xf numFmtId="0" fontId="91" fillId="0" borderId="52" xfId="0" applyFont="1" applyBorder="1" applyAlignment="1">
      <alignment horizontal="right"/>
    </xf>
    <xf numFmtId="0" fontId="91" fillId="0" borderId="41" xfId="0" applyFont="1" applyBorder="1" applyAlignment="1">
      <alignment/>
    </xf>
    <xf numFmtId="0" fontId="91" fillId="0" borderId="95" xfId="0" applyFont="1" applyBorder="1" applyAlignment="1">
      <alignment/>
    </xf>
    <xf numFmtId="0" fontId="91" fillId="0" borderId="51" xfId="0" applyFont="1" applyBorder="1" applyAlignment="1">
      <alignment/>
    </xf>
    <xf numFmtId="0" fontId="91" fillId="0" borderId="42" xfId="0" applyFont="1" applyBorder="1" applyAlignment="1">
      <alignment/>
    </xf>
    <xf numFmtId="6" fontId="91" fillId="0" borderId="42" xfId="0" applyNumberFormat="1" applyFont="1" applyBorder="1" applyAlignment="1">
      <alignment/>
    </xf>
    <xf numFmtId="0" fontId="91" fillId="0" borderId="43" xfId="0" applyFont="1" applyBorder="1" applyAlignment="1">
      <alignment/>
    </xf>
    <xf numFmtId="0" fontId="91" fillId="0" borderId="15" xfId="0" applyFont="1" applyBorder="1" applyAlignment="1">
      <alignment/>
    </xf>
    <xf numFmtId="0" fontId="91" fillId="0" borderId="99" xfId="0" applyFont="1" applyBorder="1" applyAlignment="1">
      <alignment/>
    </xf>
    <xf numFmtId="6" fontId="91" fillId="0" borderId="41" xfId="0" applyNumberFormat="1" applyFont="1" applyBorder="1" applyAlignment="1">
      <alignment/>
    </xf>
    <xf numFmtId="6" fontId="91" fillId="0" borderId="95" xfId="0" applyNumberFormat="1" applyFont="1" applyBorder="1" applyAlignment="1">
      <alignment horizontal="right"/>
    </xf>
    <xf numFmtId="0" fontId="91" fillId="0" borderId="95" xfId="0" applyFont="1" applyBorder="1" applyAlignment="1">
      <alignment horizontal="right"/>
    </xf>
    <xf numFmtId="0" fontId="91" fillId="0" borderId="51" xfId="0" applyFont="1" applyBorder="1" applyAlignment="1">
      <alignment horizontal="right"/>
    </xf>
    <xf numFmtId="6" fontId="91" fillId="0" borderId="42" xfId="0" applyNumberFormat="1" applyFont="1" applyBorder="1" applyAlignment="1">
      <alignment horizontal="right"/>
    </xf>
    <xf numFmtId="6" fontId="91" fillId="0" borderId="43" xfId="0" applyNumberFormat="1" applyFont="1" applyBorder="1" applyAlignment="1">
      <alignment/>
    </xf>
    <xf numFmtId="5" fontId="3" fillId="30" borderId="12" xfId="0" applyNumberFormat="1" applyFont="1" applyFill="1" applyBorder="1" applyAlignment="1" applyProtection="1">
      <alignment/>
      <protection/>
    </xf>
    <xf numFmtId="165" fontId="0" fillId="30" borderId="12" xfId="42" applyNumberFormat="1" applyFont="1" applyFill="1" applyBorder="1" applyAlignment="1" applyProtection="1">
      <alignment/>
      <protection/>
    </xf>
    <xf numFmtId="5" fontId="3" fillId="30" borderId="80" xfId="0" applyNumberFormat="1" applyFont="1" applyFill="1" applyBorder="1" applyAlignment="1" applyProtection="1">
      <alignment/>
      <protection/>
    </xf>
    <xf numFmtId="165" fontId="0" fillId="30" borderId="80" xfId="42" applyNumberFormat="1" applyFont="1" applyFill="1" applyBorder="1" applyAlignment="1" applyProtection="1">
      <alignment/>
      <protection/>
    </xf>
    <xf numFmtId="3" fontId="0" fillId="30" borderId="12" xfId="0" applyNumberFormat="1" applyFont="1" applyFill="1" applyBorder="1" applyAlignment="1" applyProtection="1">
      <alignment/>
      <protection/>
    </xf>
    <xf numFmtId="3" fontId="0" fillId="30" borderId="14" xfId="0" applyNumberFormat="1" applyFont="1" applyFill="1" applyBorder="1" applyAlignment="1" applyProtection="1">
      <alignment/>
      <protection/>
    </xf>
    <xf numFmtId="0" fontId="109" fillId="30" borderId="0" xfId="0" applyFont="1" applyFill="1" applyAlignment="1">
      <alignment horizontal="center" vertical="center"/>
    </xf>
    <xf numFmtId="3" fontId="110" fillId="30" borderId="0" xfId="0" applyNumberFormat="1" applyFont="1" applyFill="1" applyAlignment="1">
      <alignment horizontal="center"/>
    </xf>
    <xf numFmtId="0" fontId="110" fillId="30" borderId="0" xfId="0" applyFont="1" applyFill="1" applyAlignment="1" quotePrefix="1">
      <alignment/>
    </xf>
    <xf numFmtId="0" fontId="110" fillId="30" borderId="0" xfId="0" applyFont="1" applyFill="1" applyAlignment="1">
      <alignment/>
    </xf>
    <xf numFmtId="38" fontId="110" fillId="30" borderId="0" xfId="0" applyNumberFormat="1" applyFont="1" applyFill="1" applyAlignment="1">
      <alignment horizontal="center"/>
    </xf>
    <xf numFmtId="0" fontId="110" fillId="30" borderId="0" xfId="0" applyFont="1" applyFill="1" applyAlignment="1">
      <alignment horizontal="center"/>
    </xf>
    <xf numFmtId="0" fontId="111" fillId="30" borderId="0" xfId="0" applyFont="1" applyFill="1" applyAlignment="1">
      <alignment horizontal="center"/>
    </xf>
    <xf numFmtId="0" fontId="110" fillId="30" borderId="0" xfId="0" applyFont="1" applyFill="1" applyAlignment="1">
      <alignment horizontal="left"/>
    </xf>
    <xf numFmtId="0" fontId="110" fillId="30" borderId="0" xfId="0" applyNumberFormat="1" applyFont="1" applyFill="1" applyAlignment="1">
      <alignment horizontal="left" wrapText="1"/>
    </xf>
    <xf numFmtId="0" fontId="17" fillId="0" borderId="164" xfId="0" applyFont="1" applyFill="1" applyBorder="1" applyAlignment="1">
      <alignment horizontal="center" vertical="center" wrapText="1"/>
    </xf>
    <xf numFmtId="0" fontId="17" fillId="0" borderId="142" xfId="0" applyFont="1" applyFill="1" applyBorder="1" applyAlignment="1">
      <alignment horizontal="center" vertical="center"/>
    </xf>
    <xf numFmtId="0" fontId="17" fillId="0" borderId="150" xfId="0" applyFont="1" applyFill="1" applyBorder="1" applyAlignment="1">
      <alignment horizontal="center" vertical="center"/>
    </xf>
    <xf numFmtId="0" fontId="13" fillId="22" borderId="82" xfId="0" applyFont="1" applyFill="1" applyBorder="1" applyAlignment="1" quotePrefix="1">
      <alignment horizontal="left" vertical="center" wrapText="1"/>
    </xf>
    <xf numFmtId="0" fontId="0" fillId="0" borderId="165" xfId="0" applyBorder="1" applyAlignment="1">
      <alignment horizontal="left" vertical="center" wrapText="1"/>
    </xf>
    <xf numFmtId="0" fontId="13" fillId="22" borderId="166" xfId="0" applyFont="1" applyFill="1" applyBorder="1" applyAlignment="1">
      <alignment horizontal="left" vertical="center" wrapText="1"/>
    </xf>
    <xf numFmtId="0" fontId="13" fillId="22" borderId="15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4" fillId="22" borderId="167" xfId="0" applyFont="1" applyFill="1" applyBorder="1" applyAlignment="1">
      <alignment horizontal="center" vertical="center" wrapText="1"/>
    </xf>
    <xf numFmtId="0" fontId="18" fillId="22" borderId="47" xfId="0" applyFont="1" applyFill="1" applyBorder="1" applyAlignment="1">
      <alignment horizontal="center" vertical="center" wrapText="1"/>
    </xf>
    <xf numFmtId="0" fontId="18" fillId="22" borderId="28" xfId="0" applyFont="1" applyFill="1" applyBorder="1" applyAlignment="1">
      <alignment horizontal="center" vertical="center" wrapText="1"/>
    </xf>
    <xf numFmtId="0" fontId="17" fillId="0" borderId="168" xfId="0" applyFont="1" applyFill="1" applyBorder="1" applyAlignment="1" quotePrefix="1">
      <alignment horizontal="left" vertical="center" wrapText="1"/>
    </xf>
    <xf numFmtId="0" fontId="17" fillId="0" borderId="169" xfId="0" applyFont="1" applyFill="1" applyBorder="1" applyAlignment="1">
      <alignment horizontal="left" vertical="center" wrapText="1"/>
    </xf>
    <xf numFmtId="0" fontId="7" fillId="0" borderId="18" xfId="0" applyFont="1" applyBorder="1" applyAlignment="1" quotePrefix="1">
      <alignment horizontal="center" wrapText="1"/>
    </xf>
    <xf numFmtId="0" fontId="7" fillId="0" borderId="18" xfId="0" applyFont="1" applyBorder="1" applyAlignment="1">
      <alignment horizontal="center" wrapText="1"/>
    </xf>
    <xf numFmtId="0" fontId="17" fillId="22" borderId="167" xfId="0" applyFont="1" applyFill="1" applyBorder="1" applyAlignment="1" quotePrefix="1">
      <alignment horizontal="center" vertical="center" wrapText="1"/>
    </xf>
    <xf numFmtId="0" fontId="17" fillId="22" borderId="47" xfId="0" applyFont="1" applyFill="1" applyBorder="1" applyAlignment="1">
      <alignment horizontal="center" vertical="center" wrapText="1"/>
    </xf>
    <xf numFmtId="0" fontId="17" fillId="22" borderId="2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 wrapText="1"/>
      <protection/>
    </xf>
    <xf numFmtId="0" fontId="21" fillId="4" borderId="12" xfId="0" applyFont="1" applyFill="1" applyBorder="1" applyAlignment="1" applyProtection="1">
      <alignment horizontal="center" vertical="center"/>
      <protection/>
    </xf>
    <xf numFmtId="0" fontId="21" fillId="4" borderId="14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1" fillId="22" borderId="3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39" borderId="14" xfId="0" applyFont="1" applyFill="1" applyBorder="1" applyAlignment="1">
      <alignment horizontal="center" vertical="center" wrapText="1"/>
    </xf>
    <xf numFmtId="0" fontId="21" fillId="31" borderId="11" xfId="0" applyFont="1" applyFill="1" applyBorder="1" applyAlignment="1">
      <alignment horizontal="center" vertical="center" wrapText="1"/>
    </xf>
    <xf numFmtId="0" fontId="21" fillId="31" borderId="12" xfId="0" applyFont="1" applyFill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center" vertical="center" wrapText="1"/>
    </xf>
    <xf numFmtId="6" fontId="21" fillId="4" borderId="11" xfId="0" applyNumberFormat="1" applyFont="1" applyFill="1" applyBorder="1" applyAlignment="1" applyProtection="1">
      <alignment horizontal="center" vertical="center" wrapText="1"/>
      <protection/>
    </xf>
    <xf numFmtId="6" fontId="21" fillId="4" borderId="12" xfId="0" applyNumberFormat="1" applyFont="1" applyFill="1" applyBorder="1" applyAlignment="1" applyProtection="1">
      <alignment horizontal="center" vertical="center"/>
      <protection/>
    </xf>
    <xf numFmtId="6" fontId="21" fillId="4" borderId="14" xfId="0" applyNumberFormat="1" applyFont="1" applyFill="1" applyBorder="1" applyAlignment="1" applyProtection="1">
      <alignment horizontal="center" vertical="center"/>
      <protection/>
    </xf>
    <xf numFmtId="0" fontId="66" fillId="4" borderId="44" xfId="0" applyFont="1" applyFill="1" applyBorder="1" applyAlignment="1">
      <alignment horizontal="center"/>
    </xf>
    <xf numFmtId="0" fontId="66" fillId="4" borderId="57" xfId="0" applyFont="1" applyFill="1" applyBorder="1" applyAlignment="1">
      <alignment horizontal="center"/>
    </xf>
    <xf numFmtId="0" fontId="66" fillId="4" borderId="49" xfId="0" applyFont="1" applyFill="1" applyBorder="1" applyAlignment="1">
      <alignment horizontal="center"/>
    </xf>
    <xf numFmtId="0" fontId="21" fillId="7" borderId="31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" fillId="7" borderId="44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166" fontId="0" fillId="0" borderId="170" xfId="0" applyNumberFormat="1" applyFont="1" applyBorder="1" applyAlignment="1">
      <alignment horizontal="left" wrapText="1"/>
    </xf>
    <xf numFmtId="166" fontId="0" fillId="0" borderId="0" xfId="0" applyNumberFormat="1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43" fillId="0" borderId="0" xfId="0" applyFont="1" applyAlignment="1">
      <alignment horizontal="left"/>
    </xf>
    <xf numFmtId="0" fontId="35" fillId="7" borderId="171" xfId="0" applyFont="1" applyFill="1" applyBorder="1" applyAlignment="1">
      <alignment horizontal="center"/>
    </xf>
    <xf numFmtId="0" fontId="35" fillId="7" borderId="45" xfId="0" applyFont="1" applyFill="1" applyBorder="1" applyAlignment="1">
      <alignment horizontal="center"/>
    </xf>
    <xf numFmtId="0" fontId="35" fillId="7" borderId="96" xfId="0" applyFont="1" applyFill="1" applyBorder="1" applyAlignment="1">
      <alignment horizontal="center"/>
    </xf>
    <xf numFmtId="7" fontId="55" fillId="0" borderId="0" xfId="45" applyNumberFormat="1" applyFont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35" fillId="5" borderId="171" xfId="0" applyFont="1" applyFill="1" applyBorder="1" applyAlignment="1">
      <alignment horizontal="center"/>
    </xf>
    <xf numFmtId="0" fontId="35" fillId="5" borderId="45" xfId="0" applyFont="1" applyFill="1" applyBorder="1" applyAlignment="1">
      <alignment horizontal="center"/>
    </xf>
    <xf numFmtId="0" fontId="35" fillId="5" borderId="96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42" fillId="4" borderId="11" xfId="0" applyFont="1" applyFill="1" applyBorder="1" applyAlignment="1">
      <alignment horizontal="center" vertical="center" wrapText="1"/>
    </xf>
    <xf numFmtId="0" fontId="62" fillId="41" borderId="44" xfId="0" applyFont="1" applyFill="1" applyBorder="1" applyAlignment="1" applyProtection="1" quotePrefix="1">
      <alignment horizontal="center" vertical="center" wrapText="1"/>
      <protection/>
    </xf>
    <xf numFmtId="0" fontId="62" fillId="41" borderId="57" xfId="0" applyFont="1" applyFill="1" applyBorder="1" applyAlignment="1" applyProtection="1" quotePrefix="1">
      <alignment horizontal="center" vertical="center" wrapText="1"/>
      <protection/>
    </xf>
    <xf numFmtId="0" fontId="62" fillId="41" borderId="49" xfId="0" applyFont="1" applyFill="1" applyBorder="1" applyAlignment="1" applyProtection="1" quotePrefix="1">
      <alignment horizontal="center" vertical="center" wrapText="1"/>
      <protection/>
    </xf>
    <xf numFmtId="0" fontId="21" fillId="4" borderId="11" xfId="0" applyFont="1" applyFill="1" applyBorder="1" applyAlignment="1" quotePrefix="1">
      <alignment horizontal="center" vertical="center" wrapText="1"/>
    </xf>
    <xf numFmtId="0" fontId="21" fillId="4" borderId="14" xfId="0" applyFont="1" applyFill="1" applyBorder="1" applyAlignment="1" quotePrefix="1">
      <alignment horizontal="center" vertical="center" wrapText="1"/>
    </xf>
    <xf numFmtId="0" fontId="62" fillId="22" borderId="11" xfId="0" applyFont="1" applyFill="1" applyBorder="1" applyAlignment="1">
      <alignment horizontal="center" vertical="center" wrapText="1"/>
    </xf>
    <xf numFmtId="0" fontId="62" fillId="41" borderId="44" xfId="0" applyFont="1" applyFill="1" applyBorder="1" applyAlignment="1" applyProtection="1">
      <alignment horizontal="center" vertical="center" wrapText="1"/>
      <protection/>
    </xf>
    <xf numFmtId="0" fontId="62" fillId="41" borderId="57" xfId="0" applyFont="1" applyFill="1" applyBorder="1" applyAlignment="1" applyProtection="1">
      <alignment horizontal="center" vertical="center" wrapText="1"/>
      <protection/>
    </xf>
    <xf numFmtId="0" fontId="62" fillId="41" borderId="49" xfId="0" applyFont="1" applyFill="1" applyBorder="1" applyAlignment="1" applyProtection="1">
      <alignment horizontal="center" vertical="center" wrapText="1"/>
      <protection/>
    </xf>
    <xf numFmtId="0" fontId="62" fillId="22" borderId="44" xfId="0" applyFont="1" applyFill="1" applyBorder="1" applyAlignment="1">
      <alignment horizontal="center" vertical="center" wrapText="1"/>
    </xf>
    <xf numFmtId="0" fontId="62" fillId="22" borderId="49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 applyProtection="1">
      <alignment horizontal="center" vertical="center" wrapText="1"/>
      <protection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44" xfId="0" applyFont="1" applyFill="1" applyBorder="1" applyAlignment="1" applyProtection="1">
      <alignment horizontal="center" vertical="center" wrapText="1"/>
      <protection/>
    </xf>
    <xf numFmtId="0" fontId="42" fillId="4" borderId="14" xfId="0" applyFont="1" applyFill="1" applyBorder="1" applyAlignment="1">
      <alignment horizontal="center" vertical="center" wrapText="1"/>
    </xf>
    <xf numFmtId="0" fontId="63" fillId="22" borderId="49" xfId="0" applyFont="1" applyFill="1" applyBorder="1" applyAlignment="1">
      <alignment horizontal="center" vertical="center" wrapText="1"/>
    </xf>
    <xf numFmtId="0" fontId="62" fillId="22" borderId="44" xfId="0" applyFont="1" applyFill="1" applyBorder="1" applyAlignment="1" quotePrefix="1">
      <alignment horizontal="center" vertical="center" wrapText="1"/>
    </xf>
    <xf numFmtId="0" fontId="21" fillId="25" borderId="11" xfId="0" applyFont="1" applyFill="1" applyBorder="1" applyAlignment="1" quotePrefix="1">
      <alignment horizontal="center" vertical="center" wrapText="1"/>
    </xf>
    <xf numFmtId="0" fontId="21" fillId="25" borderId="14" xfId="0" applyFont="1" applyFill="1" applyBorder="1" applyAlignment="1" quotePrefix="1">
      <alignment horizontal="center" vertical="center" wrapText="1"/>
    </xf>
    <xf numFmtId="0" fontId="21" fillId="22" borderId="11" xfId="0" applyFont="1" applyFill="1" applyBorder="1" applyAlignment="1" quotePrefix="1">
      <alignment horizontal="center" vertical="center" wrapText="1"/>
    </xf>
    <xf numFmtId="0" fontId="21" fillId="22" borderId="14" xfId="0" applyFont="1" applyFill="1" applyBorder="1" applyAlignment="1" quotePrefix="1">
      <alignment horizontal="center" vertical="center" wrapText="1"/>
    </xf>
    <xf numFmtId="0" fontId="21" fillId="0" borderId="172" xfId="0" applyFont="1" applyFill="1" applyBorder="1" applyAlignment="1" applyProtection="1">
      <alignment horizontal="right"/>
      <protection/>
    </xf>
    <xf numFmtId="0" fontId="21" fillId="0" borderId="173" xfId="0" applyFont="1" applyFill="1" applyBorder="1" applyAlignment="1" applyProtection="1">
      <alignment horizontal="right"/>
      <protection/>
    </xf>
    <xf numFmtId="0" fontId="58" fillId="0" borderId="0" xfId="0" applyFont="1" applyFill="1" applyAlignment="1">
      <alignment horizontal="left" vertical="top"/>
    </xf>
    <xf numFmtId="0" fontId="62" fillId="42" borderId="44" xfId="0" applyFont="1" applyFill="1" applyBorder="1" applyAlignment="1" applyProtection="1">
      <alignment horizontal="center" vertical="center" wrapText="1"/>
      <protection/>
    </xf>
    <xf numFmtId="0" fontId="62" fillId="42" borderId="57" xfId="0" applyFont="1" applyFill="1" applyBorder="1" applyAlignment="1" applyProtection="1">
      <alignment horizontal="center" vertical="center" wrapText="1"/>
      <protection/>
    </xf>
    <xf numFmtId="0" fontId="62" fillId="42" borderId="49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quotePrefix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 quotePrefix="1">
      <alignment horizontal="center" vertical="center" wrapText="1"/>
    </xf>
    <xf numFmtId="0" fontId="62" fillId="43" borderId="44" xfId="0" applyFont="1" applyFill="1" applyBorder="1" applyAlignment="1" applyProtection="1">
      <alignment horizontal="center" vertical="center" wrapText="1"/>
      <protection/>
    </xf>
    <xf numFmtId="0" fontId="62" fillId="43" borderId="57" xfId="0" applyFont="1" applyFill="1" applyBorder="1" applyAlignment="1" applyProtection="1">
      <alignment horizontal="center" vertical="center" wrapText="1"/>
      <protection/>
    </xf>
    <xf numFmtId="0" fontId="62" fillId="43" borderId="49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 quotePrefix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 quotePrefix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62" fillId="44" borderId="44" xfId="0" applyFont="1" applyFill="1" applyBorder="1" applyAlignment="1" applyProtection="1" quotePrefix="1">
      <alignment horizontal="center" vertical="center" wrapText="1"/>
      <protection/>
    </xf>
    <xf numFmtId="0" fontId="62" fillId="44" borderId="57" xfId="0" applyFont="1" applyFill="1" applyBorder="1" applyAlignment="1" applyProtection="1" quotePrefix="1">
      <alignment horizontal="center" vertical="center" wrapText="1"/>
      <protection/>
    </xf>
    <xf numFmtId="0" fontId="62" fillId="44" borderId="49" xfId="0" applyFont="1" applyFill="1" applyBorder="1" applyAlignment="1" applyProtection="1" quotePrefix="1">
      <alignment horizontal="center" vertical="center" wrapText="1"/>
      <protection/>
    </xf>
    <xf numFmtId="15" fontId="21" fillId="4" borderId="11" xfId="0" applyNumberFormat="1" applyFont="1" applyFill="1" applyBorder="1" applyAlignment="1">
      <alignment horizontal="center" vertical="center" wrapText="1"/>
    </xf>
    <xf numFmtId="15" fontId="21" fillId="4" borderId="14" xfId="0" applyNumberFormat="1" applyFont="1" applyFill="1" applyBorder="1" applyAlignment="1">
      <alignment horizontal="center" vertical="center" wrapText="1"/>
    </xf>
    <xf numFmtId="38" fontId="21" fillId="4" borderId="11" xfId="0" applyNumberFormat="1" applyFont="1" applyFill="1" applyBorder="1" applyAlignment="1">
      <alignment horizontal="center" vertical="center" wrapText="1"/>
    </xf>
    <xf numFmtId="38" fontId="21" fillId="4" borderId="14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62" fillId="44" borderId="44" xfId="0" applyFont="1" applyFill="1" applyBorder="1" applyAlignment="1" applyProtection="1">
      <alignment horizontal="center" vertical="center" wrapText="1"/>
      <protection/>
    </xf>
    <xf numFmtId="0" fontId="62" fillId="42" borderId="57" xfId="0" applyFont="1" applyFill="1" applyBorder="1" applyAlignment="1" applyProtection="1" quotePrefix="1">
      <alignment horizontal="center" vertical="center" wrapText="1"/>
      <protection/>
    </xf>
    <xf numFmtId="0" fontId="62" fillId="42" borderId="49" xfId="0" applyFont="1" applyFill="1" applyBorder="1" applyAlignment="1" applyProtection="1" quotePrefix="1">
      <alignment horizontal="center" vertical="center" wrapText="1"/>
      <protection/>
    </xf>
    <xf numFmtId="0" fontId="21" fillId="4" borderId="31" xfId="0" applyFont="1" applyFill="1" applyBorder="1" applyAlignment="1" quotePrefix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31" borderId="14" xfId="0" applyFont="1" applyFill="1" applyBorder="1" applyAlignment="1" quotePrefix="1">
      <alignment horizontal="center" vertical="center" wrapText="1"/>
    </xf>
    <xf numFmtId="0" fontId="21" fillId="22" borderId="31" xfId="0" applyFont="1" applyFill="1" applyBorder="1" applyAlignment="1" quotePrefix="1">
      <alignment horizontal="center" vertical="center" wrapText="1"/>
    </xf>
    <xf numFmtId="0" fontId="64" fillId="7" borderId="44" xfId="0" applyFont="1" applyFill="1" applyBorder="1" applyAlignment="1">
      <alignment horizontal="center" vertical="center" wrapText="1"/>
    </xf>
    <xf numFmtId="0" fontId="64" fillId="7" borderId="49" xfId="0" applyFont="1" applyFill="1" applyBorder="1" applyAlignment="1">
      <alignment horizontal="center" vertical="center" wrapText="1"/>
    </xf>
    <xf numFmtId="0" fontId="92" fillId="4" borderId="31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 wrapText="1"/>
    </xf>
    <xf numFmtId="0" fontId="21" fillId="45" borderId="3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quotePrefix="1">
      <alignment horizontal="center" vertical="center" wrapText="1"/>
    </xf>
    <xf numFmtId="0" fontId="21" fillId="33" borderId="14" xfId="0" applyFont="1" applyFill="1" applyBorder="1" applyAlignment="1" quotePrefix="1">
      <alignment horizontal="center" vertical="center" wrapText="1"/>
    </xf>
    <xf numFmtId="0" fontId="108" fillId="40" borderId="44" xfId="0" applyFont="1" applyFill="1" applyBorder="1" applyAlignment="1">
      <alignment horizontal="center" vertical="center" wrapText="1"/>
    </xf>
    <xf numFmtId="0" fontId="108" fillId="40" borderId="57" xfId="0" applyFont="1" applyFill="1" applyBorder="1" applyAlignment="1">
      <alignment horizontal="center" vertical="center" wrapText="1"/>
    </xf>
    <xf numFmtId="0" fontId="108" fillId="40" borderId="4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1" fillId="4" borderId="12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43" fillId="22" borderId="44" xfId="0" applyFont="1" applyFill="1" applyBorder="1" applyAlignment="1">
      <alignment horizontal="center" vertical="center" wrapText="1"/>
    </xf>
    <xf numFmtId="0" fontId="43" fillId="22" borderId="57" xfId="0" applyFont="1" applyFill="1" applyBorder="1" applyAlignment="1">
      <alignment horizontal="center" vertical="center" wrapText="1"/>
    </xf>
    <xf numFmtId="0" fontId="43" fillId="22" borderId="49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wrapText="1"/>
    </xf>
    <xf numFmtId="0" fontId="36" fillId="22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vertical="center"/>
    </xf>
    <xf numFmtId="0" fontId="3" fillId="22" borderId="14" xfId="0" applyFont="1" applyFill="1" applyBorder="1" applyAlignment="1">
      <alignment vertical="center"/>
    </xf>
    <xf numFmtId="0" fontId="36" fillId="22" borderId="11" xfId="0" applyFont="1" applyFill="1" applyBorder="1" applyAlignment="1" quotePrefix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horizontal="center" wrapText="1"/>
    </xf>
    <xf numFmtId="0" fontId="43" fillId="22" borderId="44" xfId="0" applyFont="1" applyFill="1" applyBorder="1" applyAlignment="1">
      <alignment horizontal="center" vertical="center"/>
    </xf>
    <xf numFmtId="0" fontId="43" fillId="22" borderId="57" xfId="0" applyFont="1" applyFill="1" applyBorder="1" applyAlignment="1">
      <alignment horizontal="center" vertical="center"/>
    </xf>
    <xf numFmtId="0" fontId="43" fillId="22" borderId="49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64" fillId="22" borderId="44" xfId="0" applyFont="1" applyFill="1" applyBorder="1" applyAlignment="1" quotePrefix="1">
      <alignment horizontal="center" vertical="center"/>
    </xf>
    <xf numFmtId="0" fontId="64" fillId="22" borderId="57" xfId="0" applyFont="1" applyFill="1" applyBorder="1" applyAlignment="1" quotePrefix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0" fillId="0" borderId="0" xfId="0" applyFont="1" applyFill="1" applyAlignment="1" quotePrefix="1">
      <alignment horizontal="left" wrapText="1"/>
    </xf>
    <xf numFmtId="0" fontId="0" fillId="0" borderId="0" xfId="0" applyFill="1" applyAlignment="1" quotePrefix="1">
      <alignment horizontal="left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48" fillId="4" borderId="3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wrapText="1"/>
    </xf>
    <xf numFmtId="49" fontId="21" fillId="19" borderId="0" xfId="0" applyNumberFormat="1" applyFont="1" applyFill="1" applyBorder="1" applyAlignment="1">
      <alignment horizontal="center" vertical="center" wrapText="1"/>
    </xf>
    <xf numFmtId="49" fontId="21" fillId="19" borderId="0" xfId="0" applyNumberFormat="1" applyFont="1" applyFill="1" applyBorder="1" applyAlignment="1" quotePrefix="1">
      <alignment horizontal="center" vertical="center" wrapText="1"/>
    </xf>
    <xf numFmtId="49" fontId="21" fillId="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49" fontId="21" fillId="4" borderId="31" xfId="0" applyNumberFormat="1" applyFont="1" applyFill="1" applyBorder="1" applyAlignment="1">
      <alignment horizontal="center" vertical="center" wrapText="1"/>
    </xf>
    <xf numFmtId="49" fontId="0" fillId="4" borderId="31" xfId="0" applyNumberFormat="1" applyFill="1" applyBorder="1" applyAlignment="1">
      <alignment horizontal="center" vertical="center" wrapText="1"/>
    </xf>
    <xf numFmtId="49" fontId="21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>
      <alignment horizontal="center" vertical="center"/>
    </xf>
    <xf numFmtId="49" fontId="0" fillId="4" borderId="31" xfId="0" applyNumberFormat="1" applyFill="1" applyBorder="1" applyAlignment="1">
      <alignment horizontal="center" vertical="center"/>
    </xf>
    <xf numFmtId="49" fontId="21" fillId="4" borderId="31" xfId="0" applyNumberFormat="1" applyFont="1" applyFill="1" applyBorder="1" applyAlignment="1" quotePrefix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21" fillId="4" borderId="49" xfId="0" applyNumberFormat="1" applyFont="1" applyFill="1" applyBorder="1" applyAlignment="1" quotePrefix="1">
      <alignment horizontal="center" vertical="center" wrapText="1"/>
    </xf>
    <xf numFmtId="49" fontId="62" fillId="41" borderId="31" xfId="0" applyNumberFormat="1" applyFont="1" applyFill="1" applyBorder="1" applyAlignment="1" applyProtection="1">
      <alignment horizontal="center" vertical="center" wrapText="1"/>
      <protection/>
    </xf>
    <xf numFmtId="49" fontId="62" fillId="41" borderId="31" xfId="0" applyNumberFormat="1" applyFont="1" applyFill="1" applyBorder="1" applyAlignment="1" applyProtection="1">
      <alignment horizontal="center" vertical="center"/>
      <protection/>
    </xf>
    <xf numFmtId="49" fontId="62" fillId="41" borderId="31" xfId="0" applyNumberFormat="1" applyFont="1" applyFill="1" applyBorder="1" applyAlignment="1" applyProtection="1" quotePrefix="1">
      <alignment horizontal="center" vertical="center" wrapText="1"/>
      <protection/>
    </xf>
    <xf numFmtId="49" fontId="21" fillId="4" borderId="11" xfId="0" applyNumberFormat="1" applyFont="1" applyFill="1" applyBorder="1" applyAlignment="1" quotePrefix="1">
      <alignment horizontal="center" vertical="center" wrapText="1"/>
    </xf>
    <xf numFmtId="49" fontId="21" fillId="4" borderId="14" xfId="0" applyNumberFormat="1" applyFont="1" applyFill="1" applyBorder="1" applyAlignment="1" quotePrefix="1">
      <alignment horizontal="center" vertical="center" wrapText="1"/>
    </xf>
    <xf numFmtId="49" fontId="21" fillId="46" borderId="11" xfId="0" applyNumberFormat="1" applyFont="1" applyFill="1" applyBorder="1" applyAlignment="1" applyProtection="1">
      <alignment horizontal="center" vertical="center" wrapText="1"/>
      <protection/>
    </xf>
    <xf numFmtId="49" fontId="21" fillId="46" borderId="14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38" fontId="0" fillId="4" borderId="11" xfId="0" applyNumberFormat="1" applyFont="1" applyFill="1" applyBorder="1" applyAlignment="1">
      <alignment horizontal="center" vertical="center" wrapText="1"/>
    </xf>
    <xf numFmtId="38" fontId="0" fillId="4" borderId="14" xfId="0" applyNumberFormat="1" applyFont="1" applyFill="1" applyBorder="1" applyAlignment="1">
      <alignment horizontal="center" vertical="center" wrapText="1"/>
    </xf>
    <xf numFmtId="6" fontId="0" fillId="4" borderId="11" xfId="0" applyNumberFormat="1" applyFont="1" applyFill="1" applyBorder="1" applyAlignment="1">
      <alignment horizontal="center" vertical="center" wrapText="1"/>
    </xf>
    <xf numFmtId="6" fontId="0" fillId="4" borderId="14" xfId="0" applyNumberFormat="1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 wrapText="1"/>
    </xf>
    <xf numFmtId="0" fontId="0" fillId="31" borderId="14" xfId="0" applyFont="1" applyFill="1" applyBorder="1" applyAlignment="1">
      <alignment horizontal="center" vertical="center" wrapText="1"/>
    </xf>
    <xf numFmtId="0" fontId="108" fillId="4" borderId="41" xfId="0" applyFont="1" applyFill="1" applyBorder="1" applyAlignment="1">
      <alignment horizontal="center" vertical="center" wrapText="1"/>
    </xf>
    <xf numFmtId="0" fontId="108" fillId="4" borderId="51" xfId="0" applyFont="1" applyFill="1" applyBorder="1" applyAlignment="1">
      <alignment horizontal="center" vertical="center" wrapText="1"/>
    </xf>
    <xf numFmtId="166" fontId="0" fillId="4" borderId="11" xfId="0" applyNumberFormat="1" applyFont="1" applyFill="1" applyBorder="1" applyAlignment="1">
      <alignment horizontal="center" vertical="center" wrapText="1"/>
    </xf>
    <xf numFmtId="166" fontId="0" fillId="4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110" fillId="30" borderId="0" xfId="0" applyNumberFormat="1" applyFont="1" applyFill="1" applyAlignment="1">
      <alignment horizontal="left" wrapText="1"/>
    </xf>
    <xf numFmtId="0" fontId="110" fillId="30" borderId="0" xfId="0" applyFont="1" applyFill="1" applyAlignment="1">
      <alignment horizontal="left" wrapText="1"/>
    </xf>
    <xf numFmtId="0" fontId="109" fillId="3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8-09\Students\October%201%202007%20multiple%20sta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udit%20Data%20from%20Judy\RSD%20(Advance%20BR)%20and%20100%20Black%20Men%2010.1.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Salary%20Data\Teachers\2008-2009\FY2008-09%20Budgeted%20Avg%20Teacher%20Sal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8-09\Pay%20Raise%20info\December%20Final%20Pay%20Raise%20info\FY2008-09%20Certificated%20Pay%20Raise%20distribution_December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djusted_post%20audit_FY2007-08%20Budget%20Letter_april2008.xls\Summary_Adjusted_Post%20Audit_FY2007-08%20BL_April%202008_with%202-1-08%20adj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djusted_FY2008-09%20Budget%20Letter_january2009.xls\Adjusted_FY2008-09%20MFP%20BUDGET%20LETTER_January%202009_with%20CAFR%20adjs%20pb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udit%20Data%20from%20Judy\February%201%2008%20Base%20Membership%20Adjustment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udit%20Data%20from%20Judy\RSD%20Audit%20Adjustments%202.1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abilization%20Funds\Stabilization%20Funds_MFP_FY2009-10_Sept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udent%20Data\SIS\October%201%202009\Oct%201%202009%20MFP%20%20Funded%20Membershi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udent%20Data\SIS\October%201%202009\Oct%201%202009%20RSD%20%20OPSB%20Site-Level%20MFP%20%20Funded%20Membership%20With%20MFP%20At-Ri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7-08\Pay%20Raise%20info\December%20Final%20Pay%20Raise%20Allocation\Pay%20Raise%20distribution%20December%202007_FINAL_Revis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Final%20Budget%20Letter\July%202009\FY2009-10%20MFP%20BUDGET%20LETTER_JULY%202009_Revised%20RSD%20&amp;%20OPSB%20&amp;%20EB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udent%20Data\SIS\October%201%202009\Oct%201%202009%20MFP%20%20Funded%20Membership-correcte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abilization%20Funds\Stabilization%20Allocations\STABILIZATION%20FUND%20ALLOCATION_MFP_FY2009-10_Sept2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Charters\2009-10\Per%20Pupil%20Calculations\Copy%20of%20FY09-10%20Final%20Per%20Pupil%20Amounts_Type%201,2,3%20&amp;%204_with%20pay%20rais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udent%20Data\SIS\February%201%202010\Feb%201,%202010%20MFP%20&amp;%20Funded%20Membershi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Student%20Data\SIS\February%201%202010\Feb%201,%202010%20Site-Level%20RSD%20MFP%20Membership%20&amp;%20At-Risk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Final%20Budget%20Letter\March%202010\February2010%20MFP%20Payments_AppCtrl.xlsm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Charters\2009-10\Allocations\March_April%202010\FY2009-10%20Type%202%20Allocation_April%20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Charters\2009-10\Per%20Pupil%20Calculations\FY09-10%20Final%20Per%20Pupil%20Amounts_Type%201,2,3%20&amp;%204_with%20pay%20rais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mathern\Local%20Settings\Temporary%20Internet%20Files\Content.Outlook\FGTPVA6V\FY2009-10%20MFP%20BUDGET%20LETTER_March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7-08\Pay%20Raise%20info\December%20Final%20Pay%20Raise%20Allocation\Pay%20Raise%20distribution%20December%202007_FINAL_Revised%20April%20200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RSD%20Allocations\March%202010\March%2010_RSD%20LA%20ALLO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8-09\Prior%20Year%20Adjusted%20Budget%20Letter\FY2007-08%20base%20membership%20audit%20adjustment%20feb%201%20and%20oct%201%202007%20bas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8-09\Prior%20Year%20Adjusted%20Budget%20Letter\FY2007-08%20October%201%202007audit%20adjustments%20RSD%206%2025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8-09\Final%20Budget%20Letter\July%202008\FY2008-09%20MFP%20BUDGET%20LETTER_JULY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Tax%20Data\City-Community%20Schools%20breakou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udit%20Data%20from%20Judy\October%201%2008%20Base%20Membership%20Adjustmen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Budget%20Letter\2009-2010\Prior%20Year%20Adjusted%20Budget%20Letter\Audit%20Data%20from%20Judy\RSD%20Audit%20Adjustments%2010.1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Total_Reported"/>
      <sheetName val="2-Elementary-Secondary"/>
      <sheetName val="3-Grades_K-12"/>
      <sheetName val="4-MFP_&amp;_Other_Funded"/>
    </sheetNames>
    <sheetDataSet>
      <sheetData sheetId="3">
        <row r="91">
          <cell r="F91">
            <v>1331</v>
          </cell>
        </row>
        <row r="92">
          <cell r="F92">
            <v>424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D8">
            <v>465</v>
          </cell>
        </row>
        <row r="9">
          <cell r="D9">
            <v>442</v>
          </cell>
        </row>
        <row r="10">
          <cell r="D10">
            <v>182</v>
          </cell>
        </row>
        <row r="11">
          <cell r="D11">
            <v>194</v>
          </cell>
        </row>
        <row r="14">
          <cell r="D14">
            <v>422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ity-Parish School Districts"/>
      <sheetName val="Other Agencies &amp; Schools"/>
    </sheetNames>
    <sheetDataSet>
      <sheetData sheetId="0">
        <row r="8">
          <cell r="J8">
            <v>44393.06933480004</v>
          </cell>
        </row>
        <row r="9">
          <cell r="J9">
            <v>44020.16954022989</v>
          </cell>
        </row>
        <row r="10">
          <cell r="J10">
            <v>49666.519393336646</v>
          </cell>
        </row>
        <row r="11">
          <cell r="J11">
            <v>46297.9058571346</v>
          </cell>
        </row>
        <row r="12">
          <cell r="J12">
            <v>41797.225718194255</v>
          </cell>
        </row>
        <row r="13">
          <cell r="J13">
            <v>43786.12981814955</v>
          </cell>
        </row>
        <row r="14">
          <cell r="J14">
            <v>50126.115657099705</v>
          </cell>
        </row>
        <row r="15">
          <cell r="J15">
            <v>46552.07988289055</v>
          </cell>
        </row>
        <row r="16">
          <cell r="J16">
            <v>47522.39572782798</v>
          </cell>
        </row>
        <row r="17">
          <cell r="J17">
            <v>45014.54448986208</v>
          </cell>
        </row>
        <row r="18">
          <cell r="J18">
            <v>40498.662463130175</v>
          </cell>
        </row>
        <row r="19">
          <cell r="J19">
            <v>47608.06721183424</v>
          </cell>
        </row>
        <row r="20">
          <cell r="J20">
            <v>35116.094109919395</v>
          </cell>
        </row>
        <row r="21">
          <cell r="J21">
            <v>41557.0131634621</v>
          </cell>
        </row>
        <row r="22">
          <cell r="J22">
            <v>40508.340917423615</v>
          </cell>
        </row>
        <row r="23">
          <cell r="J23">
            <v>52627.860422848156</v>
          </cell>
        </row>
        <row r="24">
          <cell r="J24">
            <v>50819.89161714989</v>
          </cell>
        </row>
        <row r="25">
          <cell r="J25">
            <v>39246.32835820896</v>
          </cell>
        </row>
        <row r="26">
          <cell r="J26">
            <v>40634.183900069394</v>
          </cell>
        </row>
        <row r="27">
          <cell r="J27">
            <v>43851.029780033845</v>
          </cell>
        </row>
        <row r="28">
          <cell r="J28">
            <v>35818.5191365339</v>
          </cell>
        </row>
        <row r="29">
          <cell r="J29">
            <v>41324.603222180594</v>
          </cell>
        </row>
        <row r="30">
          <cell r="J30">
            <v>48243.22177822178</v>
          </cell>
        </row>
        <row r="31">
          <cell r="J31">
            <v>54494.788856304986</v>
          </cell>
        </row>
        <row r="32">
          <cell r="J32">
            <v>40273.85753854653</v>
          </cell>
        </row>
        <row r="33">
          <cell r="J33">
            <v>49068.74538696165</v>
          </cell>
        </row>
        <row r="34">
          <cell r="J34">
            <v>49044.4693877551</v>
          </cell>
        </row>
        <row r="35">
          <cell r="J35">
            <v>48475.27866591656</v>
          </cell>
        </row>
        <row r="36">
          <cell r="J36">
            <v>44793.01297614508</v>
          </cell>
        </row>
        <row r="37">
          <cell r="J37">
            <v>40221.97488373545</v>
          </cell>
        </row>
        <row r="38">
          <cell r="J38">
            <v>48318.406586042554</v>
          </cell>
        </row>
        <row r="39">
          <cell r="J39">
            <v>48143.27466005226</v>
          </cell>
        </row>
        <row r="40">
          <cell r="J40">
            <v>41880.42930103342</v>
          </cell>
        </row>
        <row r="41">
          <cell r="J41">
            <v>45634.108723484555</v>
          </cell>
        </row>
        <row r="42">
          <cell r="J42">
            <v>42382.17974558221</v>
          </cell>
        </row>
        <row r="43">
          <cell r="J43">
            <v>48780.1452359365</v>
          </cell>
        </row>
        <row r="44">
          <cell r="J44">
            <v>47714.787272236536</v>
          </cell>
        </row>
        <row r="45">
          <cell r="J45">
            <v>47780.44522968198</v>
          </cell>
        </row>
        <row r="46">
          <cell r="J46">
            <v>44417.10303030303</v>
          </cell>
        </row>
        <row r="47">
          <cell r="J47">
            <v>42307.88517040899</v>
          </cell>
        </row>
        <row r="48">
          <cell r="J48">
            <v>46695.94551359161</v>
          </cell>
        </row>
        <row r="49">
          <cell r="J49">
            <v>39451.23478681215</v>
          </cell>
        </row>
        <row r="50">
          <cell r="J50">
            <v>44873.479365079365</v>
          </cell>
        </row>
        <row r="51">
          <cell r="J51">
            <v>45898.3379332092</v>
          </cell>
        </row>
        <row r="52">
          <cell r="J52">
            <v>51799.09813664596</v>
          </cell>
        </row>
        <row r="53">
          <cell r="J53">
            <v>35969.37927266266</v>
          </cell>
        </row>
        <row r="54">
          <cell r="J54">
            <v>51821.62802729493</v>
          </cell>
        </row>
        <row r="55">
          <cell r="J55">
            <v>48364.385141134444</v>
          </cell>
        </row>
        <row r="56">
          <cell r="J56">
            <v>44686.761149443475</v>
          </cell>
        </row>
        <row r="57">
          <cell r="J57">
            <v>48703.68036907989</v>
          </cell>
        </row>
        <row r="58">
          <cell r="J58">
            <v>46728.53681858166</v>
          </cell>
        </row>
        <row r="59">
          <cell r="J59">
            <v>51744.04818004396</v>
          </cell>
        </row>
        <row r="60">
          <cell r="J60">
            <v>48385.979880026505</v>
          </cell>
        </row>
        <row r="61">
          <cell r="J61">
            <v>35136.25</v>
          </cell>
        </row>
        <row r="62">
          <cell r="J62">
            <v>44219.18531224847</v>
          </cell>
        </row>
        <row r="63">
          <cell r="J63">
            <v>41017.26898357324</v>
          </cell>
        </row>
        <row r="64">
          <cell r="J64">
            <v>46139.43164652352</v>
          </cell>
        </row>
        <row r="65">
          <cell r="J65">
            <v>46834.33690233505</v>
          </cell>
        </row>
        <row r="66">
          <cell r="J66">
            <v>44162.17463086635</v>
          </cell>
        </row>
        <row r="67">
          <cell r="J67">
            <v>52148.68584070796</v>
          </cell>
        </row>
        <row r="68">
          <cell r="J68">
            <v>46573.26733383686</v>
          </cell>
        </row>
        <row r="69">
          <cell r="J69">
            <v>41186.07946891102</v>
          </cell>
        </row>
        <row r="70">
          <cell r="J70">
            <v>52544.41541664142</v>
          </cell>
        </row>
        <row r="71">
          <cell r="J71">
            <v>39393.81991331348</v>
          </cell>
        </row>
        <row r="72">
          <cell r="J72">
            <v>47653.331644242506</v>
          </cell>
        </row>
        <row r="73">
          <cell r="J73">
            <v>50652.608695652176</v>
          </cell>
        </row>
        <row r="74">
          <cell r="J74">
            <v>52919.94854382624</v>
          </cell>
        </row>
        <row r="75">
          <cell r="J75">
            <v>45944.10784313725</v>
          </cell>
        </row>
        <row r="76">
          <cell r="J76">
            <v>47287.0970464135</v>
          </cell>
        </row>
        <row r="77">
          <cell r="J77">
            <v>47232.96175541344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tal Pay Increase"/>
      <sheetName val="Type 2 Charters"/>
      <sheetName val="Type 5 Charters - Orleans"/>
      <sheetName val="Type 5 Charters - LA"/>
      <sheetName val="Lab Schools"/>
      <sheetName val="PEP Excluding State Employees08"/>
      <sheetName val="State Employees, ONLY08"/>
      <sheetName val="RSD Site Staff FTE08"/>
      <sheetName val="PEP Excluding State Employees07"/>
      <sheetName val="State Employees, ONLY07"/>
      <sheetName val="PEP RSD Orleans detail07"/>
      <sheetName val="PEP RSD Other detail07"/>
    </sheetNames>
    <sheetDataSet>
      <sheetData sheetId="0">
        <row r="6">
          <cell r="J6">
            <v>918511</v>
          </cell>
        </row>
        <row r="7">
          <cell r="J7">
            <v>501379</v>
          </cell>
        </row>
        <row r="8">
          <cell r="J8">
            <v>1898335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267167</v>
          </cell>
        </row>
        <row r="13">
          <cell r="J13">
            <v>1928610</v>
          </cell>
        </row>
        <row r="14">
          <cell r="J14">
            <v>4405760</v>
          </cell>
        </row>
        <row r="15">
          <cell r="J15">
            <v>373713</v>
          </cell>
        </row>
        <row r="16">
          <cell r="J16">
            <v>117895</v>
          </cell>
        </row>
        <row r="17">
          <cell r="J17">
            <v>223859</v>
          </cell>
        </row>
        <row r="18">
          <cell r="J18">
            <v>145084</v>
          </cell>
        </row>
        <row r="19">
          <cell r="J19">
            <v>217127</v>
          </cell>
        </row>
        <row r="20">
          <cell r="J20">
            <v>0</v>
          </cell>
        </row>
        <row r="21">
          <cell r="J21">
            <v>510323</v>
          </cell>
        </row>
        <row r="22">
          <cell r="J22">
            <v>4775517</v>
          </cell>
        </row>
        <row r="23">
          <cell r="J23">
            <v>153155</v>
          </cell>
        </row>
        <row r="24">
          <cell r="J24">
            <v>247921</v>
          </cell>
        </row>
        <row r="25">
          <cell r="J25">
            <v>197169</v>
          </cell>
        </row>
        <row r="26">
          <cell r="J26">
            <v>27004</v>
          </cell>
        </row>
        <row r="27">
          <cell r="J27">
            <v>0</v>
          </cell>
        </row>
        <row r="28">
          <cell r="J28">
            <v>1458811</v>
          </cell>
        </row>
        <row r="29">
          <cell r="J29">
            <v>506086</v>
          </cell>
        </row>
        <row r="30">
          <cell r="J30">
            <v>226095</v>
          </cell>
        </row>
        <row r="31">
          <cell r="J31">
            <v>4701259</v>
          </cell>
        </row>
        <row r="32">
          <cell r="J32">
            <v>577880</v>
          </cell>
        </row>
        <row r="33">
          <cell r="J33">
            <v>3110079</v>
          </cell>
        </row>
        <row r="34">
          <cell r="J34">
            <v>1570869</v>
          </cell>
        </row>
        <row r="35">
          <cell r="J35">
            <v>262082</v>
          </cell>
        </row>
        <row r="36">
          <cell r="J36">
            <v>712377</v>
          </cell>
        </row>
        <row r="37">
          <cell r="J37">
            <v>2292268</v>
          </cell>
        </row>
        <row r="38">
          <cell r="J38">
            <v>0</v>
          </cell>
        </row>
        <row r="39">
          <cell r="J39">
            <v>96613</v>
          </cell>
        </row>
        <row r="40">
          <cell r="J40">
            <v>123696</v>
          </cell>
        </row>
        <row r="41">
          <cell r="J41">
            <v>1088281</v>
          </cell>
        </row>
        <row r="42">
          <cell r="J42">
            <v>1946362</v>
          </cell>
        </row>
        <row r="43">
          <cell r="J43">
            <v>413108</v>
          </cell>
        </row>
        <row r="44">
          <cell r="J44">
            <v>271603</v>
          </cell>
        </row>
        <row r="45">
          <cell r="J45">
            <v>0</v>
          </cell>
        </row>
        <row r="46">
          <cell r="J46">
            <v>67989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529542</v>
          </cell>
        </row>
        <row r="50">
          <cell r="J50">
            <v>1170472</v>
          </cell>
        </row>
        <row r="51">
          <cell r="J51">
            <v>56136</v>
          </cell>
        </row>
        <row r="52">
          <cell r="J52">
            <v>482106</v>
          </cell>
        </row>
        <row r="53">
          <cell r="J53">
            <v>769941</v>
          </cell>
        </row>
        <row r="54">
          <cell r="J54">
            <v>605618</v>
          </cell>
        </row>
        <row r="55">
          <cell r="J55">
            <v>779962</v>
          </cell>
        </row>
        <row r="56">
          <cell r="J56">
            <v>1060785</v>
          </cell>
        </row>
        <row r="57">
          <cell r="J57">
            <v>3736530</v>
          </cell>
        </row>
        <row r="58">
          <cell r="J58">
            <v>1740699</v>
          </cell>
        </row>
        <row r="59">
          <cell r="J59">
            <v>56641</v>
          </cell>
        </row>
        <row r="60">
          <cell r="J60">
            <v>2066888</v>
          </cell>
        </row>
        <row r="61">
          <cell r="J61">
            <v>276159</v>
          </cell>
        </row>
        <row r="62">
          <cell r="J62">
            <v>788657</v>
          </cell>
        </row>
        <row r="63">
          <cell r="J63">
            <v>65142</v>
          </cell>
        </row>
        <row r="64">
          <cell r="J64">
            <v>9314</v>
          </cell>
        </row>
        <row r="65">
          <cell r="J65">
            <v>673196</v>
          </cell>
        </row>
        <row r="66">
          <cell r="J66">
            <v>428279</v>
          </cell>
        </row>
        <row r="67">
          <cell r="J67">
            <v>0</v>
          </cell>
        </row>
        <row r="68">
          <cell r="J68">
            <v>275313</v>
          </cell>
        </row>
        <row r="69">
          <cell r="J69">
            <v>0</v>
          </cell>
        </row>
        <row r="70">
          <cell r="J70">
            <v>926118</v>
          </cell>
        </row>
        <row r="71">
          <cell r="J71">
            <v>250689</v>
          </cell>
        </row>
        <row r="72">
          <cell r="J72">
            <v>422271</v>
          </cell>
        </row>
        <row r="73">
          <cell r="J73">
            <v>178779</v>
          </cell>
        </row>
        <row r="74">
          <cell r="J74">
            <v>334252</v>
          </cell>
        </row>
        <row r="79">
          <cell r="J79">
            <v>1134156</v>
          </cell>
        </row>
      </sheetData>
      <sheetData sheetId="2">
        <row r="5">
          <cell r="D5">
            <v>42370</v>
          </cell>
        </row>
        <row r="6">
          <cell r="D6">
            <v>83447</v>
          </cell>
        </row>
        <row r="7">
          <cell r="D7">
            <v>57670</v>
          </cell>
        </row>
        <row r="8">
          <cell r="D8">
            <v>49432</v>
          </cell>
        </row>
        <row r="10">
          <cell r="D10">
            <v>29424</v>
          </cell>
        </row>
        <row r="11">
          <cell r="D11">
            <v>81562</v>
          </cell>
        </row>
        <row r="12">
          <cell r="D12">
            <v>43547</v>
          </cell>
        </row>
        <row r="13">
          <cell r="D13">
            <v>50609</v>
          </cell>
        </row>
        <row r="14">
          <cell r="D14">
            <v>80032</v>
          </cell>
        </row>
        <row r="15">
          <cell r="D15">
            <v>57670</v>
          </cell>
        </row>
        <row r="16">
          <cell r="D16">
            <v>51786</v>
          </cell>
        </row>
        <row r="17">
          <cell r="D17">
            <v>30601</v>
          </cell>
        </row>
        <row r="18">
          <cell r="D18">
            <v>76501</v>
          </cell>
        </row>
        <row r="19">
          <cell r="D19">
            <v>31166</v>
          </cell>
        </row>
        <row r="20">
          <cell r="D20">
            <v>45901</v>
          </cell>
        </row>
        <row r="21">
          <cell r="D21">
            <v>24716</v>
          </cell>
        </row>
        <row r="22">
          <cell r="D22">
            <v>16477</v>
          </cell>
        </row>
        <row r="23">
          <cell r="D23">
            <v>54250</v>
          </cell>
        </row>
        <row r="24">
          <cell r="D24">
            <v>15889</v>
          </cell>
        </row>
        <row r="25">
          <cell r="D25">
            <v>46487</v>
          </cell>
        </row>
        <row r="26">
          <cell r="D26">
            <v>42231</v>
          </cell>
        </row>
        <row r="27">
          <cell r="D27">
            <v>49373</v>
          </cell>
        </row>
        <row r="28">
          <cell r="D28">
            <v>38839</v>
          </cell>
        </row>
        <row r="29">
          <cell r="D29">
            <v>16477</v>
          </cell>
        </row>
        <row r="30">
          <cell r="D30">
            <v>29424</v>
          </cell>
        </row>
        <row r="31">
          <cell r="D31">
            <v>11732</v>
          </cell>
        </row>
        <row r="32">
          <cell r="D32">
            <v>15361</v>
          </cell>
        </row>
        <row r="33">
          <cell r="D33">
            <v>11769</v>
          </cell>
        </row>
        <row r="34">
          <cell r="D34">
            <v>22362</v>
          </cell>
        </row>
        <row r="35">
          <cell r="D35">
            <v>9416</v>
          </cell>
        </row>
        <row r="36">
          <cell r="D36">
            <v>18350</v>
          </cell>
        </row>
        <row r="37">
          <cell r="D37">
            <v>12946</v>
          </cell>
        </row>
      </sheetData>
      <sheetData sheetId="3">
        <row r="5">
          <cell r="C5">
            <v>47929</v>
          </cell>
        </row>
        <row r="6">
          <cell r="C6">
            <v>50419</v>
          </cell>
        </row>
        <row r="7">
          <cell r="C7">
            <v>14123</v>
          </cell>
        </row>
        <row r="8">
          <cell r="C8">
            <v>15293</v>
          </cell>
        </row>
        <row r="11">
          <cell r="C11">
            <v>21185</v>
          </cell>
        </row>
      </sheetData>
      <sheetData sheetId="4">
        <row r="5">
          <cell r="D5">
            <v>111772</v>
          </cell>
        </row>
        <row r="6">
          <cell r="D6">
            <v>42370</v>
          </cell>
        </row>
      </sheetData>
      <sheetData sheetId="5">
        <row r="10">
          <cell r="S10">
            <v>780.4198222603654</v>
          </cell>
        </row>
        <row r="11">
          <cell r="S11">
            <v>426</v>
          </cell>
        </row>
        <row r="12">
          <cell r="S12">
            <v>1612.934065934066</v>
          </cell>
        </row>
        <row r="13">
          <cell r="S13">
            <v>361.24088906331764</v>
          </cell>
        </row>
        <row r="14">
          <cell r="S14">
            <v>458.675</v>
          </cell>
        </row>
        <row r="15">
          <cell r="S15">
            <v>312.4222222222222</v>
          </cell>
        </row>
        <row r="16">
          <cell r="S16">
            <v>227.00000000000003</v>
          </cell>
        </row>
        <row r="17">
          <cell r="S17">
            <v>1638.6578653354218</v>
          </cell>
        </row>
        <row r="18">
          <cell r="S18">
            <v>3743.386832271107</v>
          </cell>
        </row>
        <row r="19">
          <cell r="S19">
            <v>3081.535248553728</v>
          </cell>
        </row>
        <row r="20">
          <cell r="S20">
            <v>161.00143451599254</v>
          </cell>
        </row>
        <row r="21">
          <cell r="S21">
            <v>190.2034079324068</v>
          </cell>
        </row>
        <row r="22">
          <cell r="S22">
            <v>144.8832706480028</v>
          </cell>
        </row>
        <row r="23">
          <cell r="S23">
            <v>223</v>
          </cell>
        </row>
        <row r="24">
          <cell r="S24">
            <v>340.8524152191895</v>
          </cell>
        </row>
        <row r="25">
          <cell r="S25">
            <v>433.6</v>
          </cell>
        </row>
        <row r="26">
          <cell r="S26">
            <v>4057.553631820766</v>
          </cell>
        </row>
        <row r="27">
          <cell r="S27">
            <v>130.12976175256853</v>
          </cell>
        </row>
        <row r="28">
          <cell r="S28">
            <v>210.6474358974359</v>
          </cell>
        </row>
        <row r="29">
          <cell r="S29">
            <v>547.1428571428571</v>
          </cell>
        </row>
        <row r="30">
          <cell r="S30">
            <v>268.73837662337655</v>
          </cell>
        </row>
        <row r="31">
          <cell r="S31">
            <v>271.91666666666663</v>
          </cell>
        </row>
        <row r="32">
          <cell r="S32">
            <v>1239.490099009901</v>
          </cell>
        </row>
        <row r="33">
          <cell r="S33">
            <v>430</v>
          </cell>
        </row>
        <row r="34">
          <cell r="S34">
            <v>192.10273326210827</v>
          </cell>
        </row>
        <row r="35">
          <cell r="S35">
            <v>3994.458857543001</v>
          </cell>
        </row>
        <row r="36">
          <cell r="S36">
            <v>491</v>
          </cell>
        </row>
        <row r="37">
          <cell r="S37">
            <v>2642.501308215594</v>
          </cell>
        </row>
        <row r="38">
          <cell r="S38">
            <v>1334.7005172435545</v>
          </cell>
        </row>
        <row r="39">
          <cell r="S39">
            <v>225.3333974358974</v>
          </cell>
        </row>
        <row r="40">
          <cell r="S40">
            <v>605.2764814814811</v>
          </cell>
        </row>
        <row r="41">
          <cell r="S41">
            <v>1947.642857142857</v>
          </cell>
        </row>
        <row r="42">
          <cell r="S42">
            <v>156.9685497835498</v>
          </cell>
        </row>
        <row r="43">
          <cell r="S43">
            <v>426.7731067395264</v>
          </cell>
        </row>
        <row r="44">
          <cell r="S44">
            <v>535.4830215045314</v>
          </cell>
        </row>
        <row r="45">
          <cell r="S45">
            <v>924.6662247259873</v>
          </cell>
        </row>
        <row r="46">
          <cell r="S46">
            <v>1653.7410256410255</v>
          </cell>
        </row>
        <row r="47">
          <cell r="S47">
            <v>351</v>
          </cell>
        </row>
        <row r="48">
          <cell r="S48">
            <v>230.76923076923077</v>
          </cell>
        </row>
        <row r="49">
          <cell r="S49">
            <v>2020.499960753532</v>
          </cell>
        </row>
        <row r="50">
          <cell r="S50">
            <v>139.8211708394698</v>
          </cell>
        </row>
        <row r="51">
          <cell r="S51">
            <v>305.0474454365079</v>
          </cell>
        </row>
        <row r="52">
          <cell r="S52">
            <v>378</v>
          </cell>
        </row>
        <row r="53">
          <cell r="S53">
            <v>449.9290862590096</v>
          </cell>
        </row>
        <row r="54">
          <cell r="S54">
            <v>994.5</v>
          </cell>
        </row>
        <row r="55">
          <cell r="S55">
            <v>96.43346646892117</v>
          </cell>
        </row>
        <row r="56">
          <cell r="S56">
            <v>409.625</v>
          </cell>
        </row>
        <row r="57">
          <cell r="S57">
            <v>654.1868131868132</v>
          </cell>
        </row>
        <row r="58">
          <cell r="S58">
            <v>1282.0155677655675</v>
          </cell>
        </row>
        <row r="59">
          <cell r="S59">
            <v>662.7007456828883</v>
          </cell>
        </row>
        <row r="60">
          <cell r="S60">
            <v>914.7707188134805</v>
          </cell>
        </row>
        <row r="61">
          <cell r="S61">
            <v>3174.769997851893</v>
          </cell>
        </row>
        <row r="62">
          <cell r="S62">
            <v>1478.9977876106195</v>
          </cell>
        </row>
        <row r="63">
          <cell r="S63">
            <v>80</v>
          </cell>
        </row>
        <row r="64">
          <cell r="S64">
            <v>1756.1462824932257</v>
          </cell>
        </row>
        <row r="65">
          <cell r="S65">
            <v>234.6405965757089</v>
          </cell>
        </row>
        <row r="66">
          <cell r="S66">
            <v>795.827269096361</v>
          </cell>
        </row>
        <row r="67">
          <cell r="S67">
            <v>751.9999999999999</v>
          </cell>
        </row>
        <row r="68">
          <cell r="S68">
            <v>447.99999999999994</v>
          </cell>
        </row>
        <row r="69">
          <cell r="S69">
            <v>571.9866964665815</v>
          </cell>
        </row>
        <row r="70">
          <cell r="S70">
            <v>363.89000108802094</v>
          </cell>
        </row>
        <row r="71">
          <cell r="S71">
            <v>192.2106109457672</v>
          </cell>
        </row>
        <row r="72">
          <cell r="S72">
            <v>233.92170937322146</v>
          </cell>
        </row>
        <row r="73">
          <cell r="S73">
            <v>220.45714285714286</v>
          </cell>
        </row>
        <row r="74">
          <cell r="S74">
            <v>786.8828110929483</v>
          </cell>
        </row>
        <row r="75">
          <cell r="S75">
            <v>213</v>
          </cell>
        </row>
        <row r="76">
          <cell r="S76">
            <v>358.7855921855921</v>
          </cell>
        </row>
        <row r="77">
          <cell r="S77">
            <v>151.9009900990099</v>
          </cell>
        </row>
        <row r="78">
          <cell r="S78">
            <v>284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s_09-10 BL_TOTAL"/>
      <sheetName val="Audit Adjustments"/>
      <sheetName val="Per Pupil Audit Amounts"/>
      <sheetName val="Table 1 State Summary"/>
      <sheetName val="Table 2 Distributions &amp; Adjust"/>
      <sheetName val="Table 3 Levels 1&amp;2"/>
      <sheetName val="Table 3A Cert Pay Req"/>
      <sheetName val="Table 4 Level 3"/>
      <sheetName val="Table 5A Lab Schools"/>
      <sheetName val="Table 5B_RSD"/>
      <sheetName val="Table 6 (Local Deduct Calc.)"/>
      <sheetName val="Table 7 Local Revenue"/>
      <sheetName val="Table 8 Membership,2.1.07"/>
      <sheetName val="Table 8A - Orleans Membership"/>
      <sheetName val="Dec Midyear Adjustment"/>
      <sheetName val="March Midyear Adjustment"/>
      <sheetName val="10.1.07 MFP Funded (SIS)"/>
      <sheetName val="10.1.07 RSD by site (SIS)"/>
      <sheetName val="2.1.08 MFP Funded"/>
      <sheetName val="2.1.08 MFP Funded RSD"/>
      <sheetName val="Comparison of RSD counts"/>
    </sheetNames>
    <sheetDataSet>
      <sheetData sheetId="0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-95637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-5662</v>
          </cell>
        </row>
        <row r="33">
          <cell r="E33">
            <v>-13740</v>
          </cell>
        </row>
        <row r="34">
          <cell r="E34">
            <v>0</v>
          </cell>
        </row>
        <row r="35">
          <cell r="E35">
            <v>-3231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-59299</v>
          </cell>
        </row>
        <row r="60">
          <cell r="E60">
            <v>-3727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91">
          <cell r="E91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-2186.64</v>
          </cell>
        </row>
        <row r="97">
          <cell r="E97">
            <v>0</v>
          </cell>
        </row>
        <row r="99">
          <cell r="E99">
            <v>0</v>
          </cell>
        </row>
        <row r="100">
          <cell r="E100">
            <v>-460.68000000000006</v>
          </cell>
        </row>
        <row r="101">
          <cell r="E101">
            <v>0</v>
          </cell>
        </row>
        <row r="102">
          <cell r="E102">
            <v>94581.68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s - TOTAL"/>
      <sheetName val="Audit Adjs 2-1-08 counts"/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_August"/>
      <sheetName val="Table 5A Lab Schools"/>
      <sheetName val="Table 5B1_RSD_Orleans"/>
      <sheetName val="Table 5B2_RSD_Other"/>
      <sheetName val="Tble 8c Membership RSD, 10.1.08"/>
      <sheetName val="Table 6 (Local Deduct Calc.)"/>
      <sheetName val="Table 7 Local Revenue"/>
      <sheetName val="Dec Midyear with audit adjs"/>
      <sheetName val="Dec Midyear Adjustment"/>
      <sheetName val="Table 8 Membership, 2.1.08"/>
      <sheetName val="Table 8a Projected OPSB &amp; RSD"/>
      <sheetName val="Table 8b Membership, 10.1.08"/>
      <sheetName val="Table 8c RSD count 10.1.08"/>
    </sheetNames>
    <sheetDataSet>
      <sheetData sheetId="0">
        <row r="9">
          <cell r="F9">
            <v>563.0532404797978</v>
          </cell>
        </row>
        <row r="10">
          <cell r="F10">
            <v>26742.905227900297</v>
          </cell>
        </row>
        <row r="11">
          <cell r="F11">
            <v>2939.0925613045183</v>
          </cell>
        </row>
        <row r="12">
          <cell r="F12">
            <v>-22109.3152961041</v>
          </cell>
        </row>
        <row r="13">
          <cell r="F13">
            <v>-108468.29764597304</v>
          </cell>
        </row>
        <row r="14">
          <cell r="F14">
            <v>-300005.6234746691</v>
          </cell>
        </row>
        <row r="15">
          <cell r="F15">
            <v>5743.999304029305</v>
          </cell>
        </row>
        <row r="16">
          <cell r="F16">
            <v>-9124.712138198458</v>
          </cell>
        </row>
        <row r="17">
          <cell r="F17">
            <v>-640721.4812895427</v>
          </cell>
        </row>
        <row r="18">
          <cell r="F18">
            <v>-370182.23227000935</v>
          </cell>
        </row>
        <row r="19">
          <cell r="F19">
            <v>-10977.910204081632</v>
          </cell>
        </row>
        <row r="20">
          <cell r="F20">
            <v>0</v>
          </cell>
        </row>
        <row r="21">
          <cell r="F21">
            <v>-1021.8360578868651</v>
          </cell>
        </row>
        <row r="22">
          <cell r="F22">
            <v>-96376.71716283311</v>
          </cell>
        </row>
        <row r="23">
          <cell r="F23">
            <v>0</v>
          </cell>
        </row>
        <row r="24">
          <cell r="F24">
            <v>-22511.952430771133</v>
          </cell>
        </row>
        <row r="25">
          <cell r="F25">
            <v>-126530.77690165825</v>
          </cell>
        </row>
        <row r="26">
          <cell r="F26">
            <v>42483.78517094687</v>
          </cell>
        </row>
        <row r="27">
          <cell r="F27">
            <v>-26846.999212626208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-9970.1828344455</v>
          </cell>
        </row>
        <row r="31">
          <cell r="F31">
            <v>-50986.08624323217</v>
          </cell>
        </row>
        <row r="32">
          <cell r="F32">
            <v>-14578.230048499474</v>
          </cell>
        </row>
        <row r="33">
          <cell r="F33">
            <v>-3670.6438193489225</v>
          </cell>
        </row>
        <row r="34">
          <cell r="F34">
            <v>-470244.1179142887</v>
          </cell>
        </row>
        <row r="35">
          <cell r="F35">
            <v>-23850.164003820148</v>
          </cell>
        </row>
        <row r="36">
          <cell r="F36">
            <v>-355946.4630278982</v>
          </cell>
        </row>
        <row r="37">
          <cell r="F37">
            <v>760.4767276491511</v>
          </cell>
        </row>
        <row r="38">
          <cell r="F38">
            <v>47801.22942399979</v>
          </cell>
        </row>
        <row r="39">
          <cell r="F39">
            <v>-28140.378011243884</v>
          </cell>
        </row>
        <row r="40">
          <cell r="F40">
            <v>-383137.1904582047</v>
          </cell>
        </row>
        <row r="41">
          <cell r="F41">
            <v>-891.2704729181423</v>
          </cell>
        </row>
        <row r="42">
          <cell r="F42">
            <v>-42534.26946398511</v>
          </cell>
        </row>
        <row r="43">
          <cell r="F43">
            <v>-151681.78359800673</v>
          </cell>
        </row>
        <row r="44">
          <cell r="F44">
            <v>-444877.3053687571</v>
          </cell>
        </row>
        <row r="45">
          <cell r="F45">
            <v>-207133.222493156</v>
          </cell>
        </row>
        <row r="46">
          <cell r="F46">
            <v>-3507.7801136363632</v>
          </cell>
        </row>
        <row r="47">
          <cell r="F47">
            <v>-22523.8766431311</v>
          </cell>
        </row>
        <row r="48">
          <cell r="F48">
            <v>-214262.77132000704</v>
          </cell>
        </row>
        <row r="49">
          <cell r="F49">
            <v>1397.4580619644012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-4611.106640077374</v>
          </cell>
        </row>
        <row r="53">
          <cell r="F53">
            <v>-3459.1658793666807</v>
          </cell>
        </row>
        <row r="54">
          <cell r="F54">
            <v>-3199.5215194652974</v>
          </cell>
        </row>
        <row r="55">
          <cell r="F55">
            <v>-3425.9813084112147</v>
          </cell>
        </row>
        <row r="56">
          <cell r="F56">
            <v>-105730.77433242707</v>
          </cell>
        </row>
        <row r="57">
          <cell r="F57">
            <v>-163790.44283246287</v>
          </cell>
        </row>
        <row r="58">
          <cell r="F58">
            <v>-18535.07501972903</v>
          </cell>
        </row>
        <row r="59">
          <cell r="F59">
            <v>-4467.8731149333935</v>
          </cell>
        </row>
        <row r="60">
          <cell r="F60">
            <v>-147914.69410092573</v>
          </cell>
        </row>
        <row r="61">
          <cell r="F61">
            <v>-21661.756424063926</v>
          </cell>
        </row>
        <row r="62">
          <cell r="F62">
            <v>-4146.281917808219</v>
          </cell>
        </row>
        <row r="63">
          <cell r="F63">
            <v>-59260.42179433039</v>
          </cell>
        </row>
        <row r="64">
          <cell r="F64">
            <v>-9281.731092495553</v>
          </cell>
        </row>
        <row r="65">
          <cell r="F65">
            <v>0</v>
          </cell>
        </row>
        <row r="66">
          <cell r="F66">
            <v>-295228.2687934838</v>
          </cell>
        </row>
        <row r="67">
          <cell r="F67">
            <v>-11568.998784933172</v>
          </cell>
        </row>
        <row r="68">
          <cell r="F68">
            <v>-103845.20467989637</v>
          </cell>
        </row>
        <row r="69">
          <cell r="F69">
            <v>-128620.81320526465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-10448.143683308357</v>
          </cell>
        </row>
        <row r="73">
          <cell r="F73">
            <v>-65745.97607833898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-40773.86056144325</v>
          </cell>
        </row>
        <row r="77">
          <cell r="F77">
            <v>-22083.190364110003</v>
          </cell>
        </row>
        <row r="86">
          <cell r="F86">
            <v>0</v>
          </cell>
        </row>
        <row r="87">
          <cell r="F87">
            <v>-3759.706809959278</v>
          </cell>
        </row>
        <row r="92">
          <cell r="F92">
            <v>-578985.2481717644</v>
          </cell>
        </row>
        <row r="95">
          <cell r="F95">
            <v>0</v>
          </cell>
        </row>
        <row r="96">
          <cell r="F96">
            <v>-1233.1869158878505</v>
          </cell>
        </row>
        <row r="97">
          <cell r="F97">
            <v>0</v>
          </cell>
        </row>
        <row r="98">
          <cell r="F98">
            <v>0</v>
          </cell>
        </row>
        <row r="100">
          <cell r="F100">
            <v>0</v>
          </cell>
        </row>
        <row r="101">
          <cell r="F101">
            <v>-451.95338858044306</v>
          </cell>
        </row>
        <row r="102">
          <cell r="F102">
            <v>-6322.091003546402</v>
          </cell>
        </row>
        <row r="103">
          <cell r="F103">
            <v>-6959.23976407144</v>
          </cell>
        </row>
        <row r="104">
          <cell r="F104">
            <v>-1684.8975511137087</v>
          </cell>
        </row>
        <row r="105">
          <cell r="F105">
            <v>-3082.9666919000756</v>
          </cell>
        </row>
        <row r="106">
          <cell r="F106">
            <v>0</v>
          </cell>
        </row>
        <row r="107">
          <cell r="F107">
            <v>-6165.933383800151</v>
          </cell>
        </row>
        <row r="108">
          <cell r="F108">
            <v>-6165.933383800151</v>
          </cell>
        </row>
        <row r="109">
          <cell r="F109">
            <v>-0.25042951397335855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-3083.384512699029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32">
          <cell r="F132">
            <v>-3945.1406799921688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-15780.562719968675</v>
          </cell>
        </row>
        <row r="138">
          <cell r="F138">
            <v>-180689.794704551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e Membership"/>
    </sheetNames>
    <sheetDataSet>
      <sheetData sheetId="0">
        <row r="8">
          <cell r="E8">
            <v>8993</v>
          </cell>
        </row>
        <row r="9">
          <cell r="E9">
            <v>4046</v>
          </cell>
        </row>
        <row r="10">
          <cell r="E10">
            <v>18194</v>
          </cell>
        </row>
        <row r="11">
          <cell r="E11">
            <v>3871</v>
          </cell>
        </row>
        <row r="12">
          <cell r="E12">
            <v>5865</v>
          </cell>
        </row>
        <row r="13">
          <cell r="E13">
            <v>6024</v>
          </cell>
        </row>
        <row r="14">
          <cell r="E14">
            <v>2186</v>
          </cell>
        </row>
        <row r="15">
          <cell r="E15">
            <v>19163</v>
          </cell>
        </row>
        <row r="16">
          <cell r="E16">
            <v>41416</v>
          </cell>
        </row>
        <row r="17">
          <cell r="E17">
            <v>30771</v>
          </cell>
        </row>
        <row r="18">
          <cell r="E18">
            <v>1664</v>
          </cell>
        </row>
        <row r="19">
          <cell r="E19">
            <v>1484</v>
          </cell>
        </row>
        <row r="20">
          <cell r="E20">
            <v>1685</v>
          </cell>
        </row>
        <row r="21">
          <cell r="E21">
            <v>2376</v>
          </cell>
        </row>
        <row r="22">
          <cell r="E22">
            <v>3888</v>
          </cell>
        </row>
        <row r="23">
          <cell r="E23">
            <v>4631</v>
          </cell>
        </row>
        <row r="24">
          <cell r="E24">
            <v>42910</v>
          </cell>
        </row>
        <row r="25">
          <cell r="E25">
            <v>1360</v>
          </cell>
        </row>
        <row r="26">
          <cell r="E26">
            <v>2156</v>
          </cell>
        </row>
        <row r="27">
          <cell r="E27">
            <v>5800</v>
          </cell>
        </row>
        <row r="28">
          <cell r="E28">
            <v>3149</v>
          </cell>
        </row>
        <row r="29">
          <cell r="E29">
            <v>3397</v>
          </cell>
        </row>
        <row r="30">
          <cell r="E30">
            <v>13437</v>
          </cell>
        </row>
        <row r="31">
          <cell r="E31">
            <v>4035</v>
          </cell>
        </row>
        <row r="32">
          <cell r="E32">
            <v>2180</v>
          </cell>
        </row>
        <row r="33">
          <cell r="E33">
            <v>41454</v>
          </cell>
        </row>
        <row r="34">
          <cell r="E34">
            <v>5543</v>
          </cell>
        </row>
        <row r="35">
          <cell r="E35">
            <v>28913</v>
          </cell>
        </row>
        <row r="36">
          <cell r="E36">
            <v>13871</v>
          </cell>
        </row>
        <row r="37">
          <cell r="E37">
            <v>2472</v>
          </cell>
        </row>
        <row r="38">
          <cell r="E38">
            <v>6381</v>
          </cell>
        </row>
        <row r="39">
          <cell r="E39">
            <v>23403</v>
          </cell>
        </row>
        <row r="40">
          <cell r="E40">
            <v>1998</v>
          </cell>
        </row>
        <row r="41">
          <cell r="E41">
            <v>4691</v>
          </cell>
        </row>
        <row r="42">
          <cell r="E42">
            <v>6448</v>
          </cell>
        </row>
        <row r="43">
          <cell r="E43">
            <v>32704</v>
          </cell>
        </row>
        <row r="44">
          <cell r="E44">
            <v>18520</v>
          </cell>
        </row>
        <row r="45">
          <cell r="E45">
            <v>3520</v>
          </cell>
        </row>
        <row r="46">
          <cell r="E46">
            <v>2965</v>
          </cell>
        </row>
        <row r="47">
          <cell r="E47">
            <v>22341</v>
          </cell>
        </row>
        <row r="48">
          <cell r="E48">
            <v>1394</v>
          </cell>
        </row>
        <row r="49">
          <cell r="E49">
            <v>3284</v>
          </cell>
        </row>
        <row r="50">
          <cell r="E50">
            <v>3927</v>
          </cell>
        </row>
        <row r="51">
          <cell r="E51">
            <v>4037</v>
          </cell>
        </row>
        <row r="52">
          <cell r="E52">
            <v>9259</v>
          </cell>
        </row>
        <row r="53">
          <cell r="E53">
            <v>1200</v>
          </cell>
        </row>
        <row r="54">
          <cell r="E54">
            <v>3835</v>
          </cell>
        </row>
        <row r="55">
          <cell r="E55">
            <v>6246</v>
          </cell>
        </row>
        <row r="56">
          <cell r="E56">
            <v>14664</v>
          </cell>
        </row>
        <row r="57">
          <cell r="E57">
            <v>8065</v>
          </cell>
        </row>
        <row r="58">
          <cell r="E58">
            <v>9245</v>
          </cell>
        </row>
        <row r="59">
          <cell r="E59">
            <v>34586</v>
          </cell>
        </row>
        <row r="60">
          <cell r="E60">
            <v>18816</v>
          </cell>
        </row>
        <row r="61">
          <cell r="E61">
            <v>729</v>
          </cell>
        </row>
        <row r="62">
          <cell r="E62">
            <v>18313</v>
          </cell>
        </row>
        <row r="63">
          <cell r="E63">
            <v>2782</v>
          </cell>
        </row>
        <row r="64">
          <cell r="E64">
            <v>8630</v>
          </cell>
        </row>
        <row r="65">
          <cell r="E65">
            <v>8872</v>
          </cell>
        </row>
        <row r="66">
          <cell r="E66">
            <v>5027</v>
          </cell>
        </row>
        <row r="67">
          <cell r="E67">
            <v>6979</v>
          </cell>
        </row>
        <row r="68">
          <cell r="E68">
            <v>3426</v>
          </cell>
        </row>
        <row r="69">
          <cell r="E69">
            <v>2196</v>
          </cell>
        </row>
        <row r="70">
          <cell r="E70">
            <v>2163</v>
          </cell>
        </row>
        <row r="71">
          <cell r="E71">
            <v>2552</v>
          </cell>
        </row>
        <row r="72">
          <cell r="E72">
            <v>8482</v>
          </cell>
        </row>
        <row r="73">
          <cell r="E73">
            <v>2159</v>
          </cell>
        </row>
        <row r="74">
          <cell r="E74">
            <v>4096</v>
          </cell>
        </row>
        <row r="75">
          <cell r="E75">
            <v>1878</v>
          </cell>
        </row>
        <row r="76">
          <cell r="E76">
            <v>3072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5B1_RSD_Orleans"/>
    </sheetNames>
    <sheetDataSet>
      <sheetData sheetId="0">
        <row r="8">
          <cell r="E8">
            <v>11571</v>
          </cell>
        </row>
        <row r="11">
          <cell r="E11">
            <v>306</v>
          </cell>
        </row>
        <row r="12">
          <cell r="E12">
            <v>538</v>
          </cell>
        </row>
        <row r="13">
          <cell r="E13">
            <v>650</v>
          </cell>
        </row>
        <row r="14">
          <cell r="E14">
            <v>475</v>
          </cell>
        </row>
        <row r="15">
          <cell r="E15">
            <v>194</v>
          </cell>
        </row>
        <row r="16">
          <cell r="E16">
            <v>394</v>
          </cell>
        </row>
        <row r="17">
          <cell r="E17">
            <v>659</v>
          </cell>
        </row>
        <row r="18">
          <cell r="E18">
            <v>422</v>
          </cell>
        </row>
        <row r="19">
          <cell r="E19">
            <v>829</v>
          </cell>
        </row>
        <row r="20">
          <cell r="E20">
            <v>374</v>
          </cell>
        </row>
        <row r="21">
          <cell r="E21">
            <v>388</v>
          </cell>
        </row>
        <row r="22">
          <cell r="E22">
            <v>527</v>
          </cell>
        </row>
        <row r="23">
          <cell r="E23">
            <v>505</v>
          </cell>
        </row>
        <row r="24">
          <cell r="E24">
            <v>175</v>
          </cell>
        </row>
        <row r="25">
          <cell r="E25">
            <v>327</v>
          </cell>
        </row>
        <row r="26">
          <cell r="E26">
            <v>412</v>
          </cell>
        </row>
        <row r="27">
          <cell r="E27">
            <v>171</v>
          </cell>
        </row>
        <row r="28">
          <cell r="E28">
            <v>80</v>
          </cell>
        </row>
        <row r="29">
          <cell r="E29">
            <v>325</v>
          </cell>
        </row>
        <row r="30">
          <cell r="E30">
            <v>48</v>
          </cell>
        </row>
        <row r="31">
          <cell r="E31">
            <v>432</v>
          </cell>
        </row>
        <row r="32">
          <cell r="E32">
            <v>409</v>
          </cell>
        </row>
        <row r="33">
          <cell r="E33">
            <v>106</v>
          </cell>
        </row>
        <row r="34">
          <cell r="E34">
            <v>361</v>
          </cell>
        </row>
        <row r="35">
          <cell r="E35">
            <v>99</v>
          </cell>
        </row>
        <row r="36">
          <cell r="E36">
            <v>375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Y2009-10 MFP SFSF Funds"/>
      <sheetName val="RSD - Orleans"/>
      <sheetName val="RSD - LA"/>
    </sheetNames>
    <sheetDataSet>
      <sheetData sheetId="0">
        <row r="5">
          <cell r="D5">
            <v>1484037</v>
          </cell>
        </row>
        <row r="6">
          <cell r="D6">
            <v>829904</v>
          </cell>
        </row>
        <row r="7">
          <cell r="D7">
            <v>2693537</v>
          </cell>
        </row>
        <row r="8">
          <cell r="D8">
            <v>760850</v>
          </cell>
        </row>
        <row r="9">
          <cell r="D9">
            <v>997220</v>
          </cell>
        </row>
        <row r="10">
          <cell r="D10">
            <v>1070174</v>
          </cell>
        </row>
        <row r="11">
          <cell r="D11">
            <v>214326</v>
          </cell>
        </row>
        <row r="12">
          <cell r="D12">
            <v>2939388</v>
          </cell>
        </row>
        <row r="13">
          <cell r="D13">
            <v>6713983</v>
          </cell>
        </row>
        <row r="14">
          <cell r="D14">
            <v>4487863</v>
          </cell>
        </row>
        <row r="15">
          <cell r="D15">
            <v>330779</v>
          </cell>
        </row>
        <row r="16">
          <cell r="D16">
            <v>153162</v>
          </cell>
        </row>
        <row r="17">
          <cell r="D17">
            <v>310980</v>
          </cell>
        </row>
        <row r="18">
          <cell r="D18">
            <v>461350</v>
          </cell>
        </row>
        <row r="19">
          <cell r="D19">
            <v>678660</v>
          </cell>
        </row>
        <row r="20">
          <cell r="D20">
            <v>697405</v>
          </cell>
        </row>
        <row r="21">
          <cell r="D21">
            <v>5316885</v>
          </cell>
        </row>
        <row r="22">
          <cell r="D22">
            <v>271406</v>
          </cell>
        </row>
        <row r="23">
          <cell r="D23">
            <v>398932</v>
          </cell>
        </row>
        <row r="24">
          <cell r="D24">
            <v>1058562</v>
          </cell>
        </row>
        <row r="25">
          <cell r="D25">
            <v>563555</v>
          </cell>
        </row>
        <row r="26">
          <cell r="D26">
            <v>648008</v>
          </cell>
        </row>
        <row r="27">
          <cell r="D27">
            <v>2259195</v>
          </cell>
        </row>
        <row r="28">
          <cell r="D28">
            <v>490144</v>
          </cell>
        </row>
        <row r="29">
          <cell r="D29">
            <v>309784</v>
          </cell>
        </row>
        <row r="30">
          <cell r="D30">
            <v>4734194</v>
          </cell>
        </row>
        <row r="31">
          <cell r="D31">
            <v>1083383</v>
          </cell>
        </row>
        <row r="32">
          <cell r="D32">
            <v>3513841</v>
          </cell>
        </row>
        <row r="33">
          <cell r="D33">
            <v>2131453</v>
          </cell>
        </row>
        <row r="34">
          <cell r="D34">
            <v>461033</v>
          </cell>
        </row>
        <row r="35">
          <cell r="D35">
            <v>965488</v>
          </cell>
        </row>
        <row r="36">
          <cell r="D36">
            <v>4318840</v>
          </cell>
        </row>
        <row r="37">
          <cell r="D37">
            <v>437259</v>
          </cell>
        </row>
        <row r="38">
          <cell r="D38">
            <v>939522</v>
          </cell>
        </row>
        <row r="39">
          <cell r="D39">
            <v>1070463</v>
          </cell>
        </row>
        <row r="40">
          <cell r="D40">
            <v>3776906</v>
          </cell>
        </row>
        <row r="41">
          <cell r="D41">
            <v>3454352</v>
          </cell>
        </row>
        <row r="42">
          <cell r="D42">
            <v>373676</v>
          </cell>
        </row>
        <row r="43">
          <cell r="D43">
            <v>386093</v>
          </cell>
        </row>
        <row r="44">
          <cell r="D44">
            <v>3690735</v>
          </cell>
        </row>
        <row r="45">
          <cell r="D45">
            <v>301165</v>
          </cell>
        </row>
        <row r="46">
          <cell r="D46">
            <v>614104</v>
          </cell>
        </row>
        <row r="47">
          <cell r="D47">
            <v>767776</v>
          </cell>
        </row>
        <row r="48">
          <cell r="D48">
            <v>607238</v>
          </cell>
        </row>
        <row r="49">
          <cell r="D49">
            <v>947452</v>
          </cell>
        </row>
        <row r="50">
          <cell r="D50">
            <v>224659</v>
          </cell>
        </row>
        <row r="51">
          <cell r="D51">
            <v>534221</v>
          </cell>
        </row>
        <row r="52">
          <cell r="D52">
            <v>942041</v>
          </cell>
        </row>
        <row r="53">
          <cell r="D53">
            <v>2387271</v>
          </cell>
        </row>
        <row r="54">
          <cell r="D54">
            <v>1387854</v>
          </cell>
        </row>
        <row r="55">
          <cell r="D55">
            <v>1489797</v>
          </cell>
        </row>
        <row r="56">
          <cell r="D56">
            <v>5626082</v>
          </cell>
        </row>
        <row r="57">
          <cell r="D57">
            <v>3113337</v>
          </cell>
        </row>
        <row r="58">
          <cell r="D58">
            <v>142327</v>
          </cell>
        </row>
        <row r="59">
          <cell r="D59">
            <v>2659177</v>
          </cell>
        </row>
        <row r="60">
          <cell r="D60">
            <v>525223</v>
          </cell>
        </row>
        <row r="61">
          <cell r="D61">
            <v>1178333</v>
          </cell>
        </row>
        <row r="62">
          <cell r="D62">
            <v>1697611</v>
          </cell>
        </row>
        <row r="63">
          <cell r="D63">
            <v>1056354</v>
          </cell>
        </row>
        <row r="64">
          <cell r="D64">
            <v>1199034</v>
          </cell>
        </row>
        <row r="65">
          <cell r="D65">
            <v>410162</v>
          </cell>
        </row>
        <row r="66">
          <cell r="D66">
            <v>393832</v>
          </cell>
        </row>
        <row r="67">
          <cell r="D67">
            <v>345828</v>
          </cell>
        </row>
        <row r="68">
          <cell r="D68">
            <v>474031</v>
          </cell>
        </row>
        <row r="69">
          <cell r="D69">
            <v>1306083</v>
          </cell>
        </row>
        <row r="70">
          <cell r="D70">
            <v>428177</v>
          </cell>
        </row>
        <row r="71">
          <cell r="D71">
            <v>788866</v>
          </cell>
        </row>
        <row r="72">
          <cell r="D72">
            <v>381928</v>
          </cell>
        </row>
        <row r="73">
          <cell r="D73">
            <v>584321</v>
          </cell>
        </row>
        <row r="76">
          <cell r="D76">
            <v>202424</v>
          </cell>
        </row>
        <row r="77">
          <cell r="D77">
            <v>52952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_MFP &amp; Funded Membership"/>
    </sheetNames>
    <sheetDataSet>
      <sheetData sheetId="0">
        <row r="9">
          <cell r="U9">
            <v>9161</v>
          </cell>
        </row>
        <row r="10">
          <cell r="U10">
            <v>4011</v>
          </cell>
        </row>
        <row r="11">
          <cell r="U11">
            <v>19066</v>
          </cell>
        </row>
        <row r="12">
          <cell r="U12">
            <v>3717</v>
          </cell>
        </row>
        <row r="13">
          <cell r="U13">
            <v>5930</v>
          </cell>
        </row>
        <row r="14">
          <cell r="U14">
            <v>5998</v>
          </cell>
        </row>
        <row r="15">
          <cell r="U15">
            <v>2178</v>
          </cell>
        </row>
        <row r="16">
          <cell r="U16">
            <v>19946</v>
          </cell>
        </row>
        <row r="17">
          <cell r="U17">
            <v>40730</v>
          </cell>
        </row>
        <row r="18">
          <cell r="U18">
            <v>31355</v>
          </cell>
        </row>
        <row r="19">
          <cell r="U19">
            <v>1620</v>
          </cell>
        </row>
        <row r="20">
          <cell r="U20">
            <v>1289</v>
          </cell>
        </row>
        <row r="21">
          <cell r="U21">
            <v>1579</v>
          </cell>
        </row>
        <row r="22">
          <cell r="U22">
            <v>2115</v>
          </cell>
        </row>
        <row r="23">
          <cell r="U23">
            <v>3738</v>
          </cell>
        </row>
        <row r="24">
          <cell r="U24">
            <v>4606</v>
          </cell>
        </row>
        <row r="25">
          <cell r="U25">
            <v>40674</v>
          </cell>
        </row>
        <row r="26">
          <cell r="U26">
            <v>1255</v>
          </cell>
        </row>
        <row r="27">
          <cell r="U27">
            <v>2056</v>
          </cell>
        </row>
        <row r="28">
          <cell r="U28">
            <v>5757</v>
          </cell>
        </row>
        <row r="29">
          <cell r="U29">
            <v>2950</v>
          </cell>
        </row>
        <row r="30">
          <cell r="U30">
            <v>3344</v>
          </cell>
        </row>
        <row r="31">
          <cell r="U31">
            <v>13346</v>
          </cell>
        </row>
        <row r="32">
          <cell r="U32">
            <v>3998</v>
          </cell>
        </row>
        <row r="33">
          <cell r="U33">
            <v>2223</v>
          </cell>
        </row>
        <row r="34">
          <cell r="U34">
            <v>42795</v>
          </cell>
        </row>
        <row r="35">
          <cell r="U35">
            <v>5645</v>
          </cell>
        </row>
        <row r="36">
          <cell r="U36">
            <v>29314</v>
          </cell>
        </row>
        <row r="37">
          <cell r="U37">
            <v>13775</v>
          </cell>
        </row>
        <row r="38">
          <cell r="U38">
            <v>2441</v>
          </cell>
        </row>
        <row r="39">
          <cell r="U39">
            <v>6462</v>
          </cell>
        </row>
        <row r="40">
          <cell r="U40">
            <v>23920</v>
          </cell>
        </row>
        <row r="41">
          <cell r="U41">
            <v>1867</v>
          </cell>
        </row>
        <row r="42">
          <cell r="U42">
            <v>4608</v>
          </cell>
        </row>
        <row r="43">
          <cell r="U43">
            <v>6439</v>
          </cell>
        </row>
        <row r="44">
          <cell r="U44">
            <v>10079</v>
          </cell>
        </row>
        <row r="45">
          <cell r="U45">
            <v>18881</v>
          </cell>
        </row>
        <row r="46">
          <cell r="U46">
            <v>3649</v>
          </cell>
        </row>
        <row r="47">
          <cell r="U47">
            <v>2487</v>
          </cell>
        </row>
        <row r="48">
          <cell r="U48">
            <v>22861</v>
          </cell>
        </row>
        <row r="49">
          <cell r="U49">
            <v>1430</v>
          </cell>
        </row>
        <row r="50">
          <cell r="U50">
            <v>3326</v>
          </cell>
        </row>
        <row r="51">
          <cell r="U51">
            <v>4026</v>
          </cell>
        </row>
        <row r="52">
          <cell r="U52">
            <v>4854</v>
          </cell>
        </row>
        <row r="53">
          <cell r="U53">
            <v>9371</v>
          </cell>
        </row>
        <row r="54">
          <cell r="U54">
            <v>1163</v>
          </cell>
        </row>
        <row r="55">
          <cell r="U55">
            <v>3768</v>
          </cell>
        </row>
        <row r="56">
          <cell r="U56">
            <v>6058</v>
          </cell>
        </row>
        <row r="57">
          <cell r="U57">
            <v>14623</v>
          </cell>
        </row>
        <row r="58">
          <cell r="U58">
            <v>8004</v>
          </cell>
        </row>
        <row r="59">
          <cell r="U59">
            <v>9174</v>
          </cell>
        </row>
        <row r="60">
          <cell r="U60">
            <v>35534</v>
          </cell>
        </row>
        <row r="61">
          <cell r="U61">
            <v>18742</v>
          </cell>
        </row>
        <row r="62">
          <cell r="U62">
            <v>706</v>
          </cell>
        </row>
        <row r="63">
          <cell r="U63">
            <v>17948</v>
          </cell>
        </row>
        <row r="64">
          <cell r="U64">
            <v>2591</v>
          </cell>
        </row>
        <row r="65">
          <cell r="U65">
            <v>8743</v>
          </cell>
        </row>
        <row r="67">
          <cell r="U67">
            <v>5044</v>
          </cell>
        </row>
        <row r="68">
          <cell r="U68">
            <v>6901</v>
          </cell>
        </row>
        <row r="69">
          <cell r="U69">
            <v>3502</v>
          </cell>
        </row>
        <row r="70">
          <cell r="U70">
            <v>2145</v>
          </cell>
        </row>
        <row r="71">
          <cell r="U71">
            <v>2106</v>
          </cell>
        </row>
        <row r="72">
          <cell r="U72">
            <v>2505</v>
          </cell>
        </row>
        <row r="73">
          <cell r="U73">
            <v>8260</v>
          </cell>
        </row>
        <row r="74">
          <cell r="U74">
            <v>2168</v>
          </cell>
        </row>
        <row r="75">
          <cell r="U75">
            <v>4755</v>
          </cell>
        </row>
        <row r="76">
          <cell r="U76">
            <v>1909</v>
          </cell>
        </row>
        <row r="77">
          <cell r="U77">
            <v>3737</v>
          </cell>
        </row>
        <row r="90">
          <cell r="U90">
            <v>1359</v>
          </cell>
        </row>
        <row r="91">
          <cell r="U91">
            <v>348</v>
          </cell>
        </row>
        <row r="112">
          <cell r="U112">
            <v>202</v>
          </cell>
        </row>
        <row r="114">
          <cell r="U114">
            <v>92</v>
          </cell>
        </row>
        <row r="153">
          <cell r="U153">
            <v>11218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SD Members &amp; At-Risk by Site"/>
      <sheetName val="Orleans PSD Members &amp; At-Risk"/>
      <sheetName val="Sites With No MFP At-Risk"/>
    </sheetNames>
    <sheetDataSet>
      <sheetData sheetId="0">
        <row r="10">
          <cell r="X10">
            <v>271</v>
          </cell>
        </row>
        <row r="11">
          <cell r="X11">
            <v>655</v>
          </cell>
        </row>
        <row r="13">
          <cell r="X13">
            <v>430</v>
          </cell>
        </row>
        <row r="14">
          <cell r="X14">
            <v>308</v>
          </cell>
        </row>
        <row r="15">
          <cell r="X15">
            <v>279</v>
          </cell>
        </row>
        <row r="16">
          <cell r="X16">
            <v>345</v>
          </cell>
        </row>
        <row r="17">
          <cell r="X17">
            <v>275</v>
          </cell>
        </row>
        <row r="18">
          <cell r="X18">
            <v>213</v>
          </cell>
        </row>
        <row r="19">
          <cell r="X19">
            <v>184</v>
          </cell>
        </row>
        <row r="20">
          <cell r="X20">
            <v>447</v>
          </cell>
        </row>
        <row r="22">
          <cell r="X22">
            <v>385</v>
          </cell>
        </row>
        <row r="24">
          <cell r="X24">
            <v>426</v>
          </cell>
        </row>
        <row r="25">
          <cell r="X25">
            <v>373</v>
          </cell>
        </row>
        <row r="26">
          <cell r="X26">
            <v>377</v>
          </cell>
        </row>
        <row r="27">
          <cell r="X27">
            <v>158</v>
          </cell>
        </row>
        <row r="28">
          <cell r="X28">
            <v>238</v>
          </cell>
        </row>
        <row r="29">
          <cell r="X29">
            <v>120</v>
          </cell>
        </row>
        <row r="30">
          <cell r="X30">
            <v>92</v>
          </cell>
        </row>
        <row r="31">
          <cell r="X31">
            <v>134</v>
          </cell>
        </row>
        <row r="32">
          <cell r="X32">
            <v>296</v>
          </cell>
        </row>
        <row r="33">
          <cell r="X33">
            <v>168</v>
          </cell>
        </row>
        <row r="34">
          <cell r="X34">
            <v>151</v>
          </cell>
        </row>
        <row r="35">
          <cell r="X35">
            <v>183</v>
          </cell>
        </row>
        <row r="36">
          <cell r="X36">
            <v>388</v>
          </cell>
        </row>
        <row r="37">
          <cell r="X37">
            <v>441</v>
          </cell>
        </row>
        <row r="38">
          <cell r="X38">
            <v>332</v>
          </cell>
        </row>
        <row r="39">
          <cell r="X39">
            <v>488</v>
          </cell>
        </row>
        <row r="40">
          <cell r="X40">
            <v>525</v>
          </cell>
        </row>
        <row r="41">
          <cell r="X41">
            <v>491</v>
          </cell>
        </row>
        <row r="42">
          <cell r="X42">
            <v>574</v>
          </cell>
        </row>
        <row r="43">
          <cell r="X43">
            <v>621</v>
          </cell>
        </row>
        <row r="44">
          <cell r="X44">
            <v>372</v>
          </cell>
        </row>
        <row r="45">
          <cell r="X45">
            <v>738</v>
          </cell>
        </row>
        <row r="46">
          <cell r="X46">
            <v>487</v>
          </cell>
        </row>
        <row r="47">
          <cell r="X47">
            <v>579</v>
          </cell>
        </row>
        <row r="48">
          <cell r="X48">
            <v>574</v>
          </cell>
        </row>
        <row r="49">
          <cell r="X49">
            <v>411</v>
          </cell>
        </row>
        <row r="50">
          <cell r="X50">
            <v>533</v>
          </cell>
        </row>
        <row r="51">
          <cell r="X51">
            <v>857</v>
          </cell>
        </row>
        <row r="52">
          <cell r="X52">
            <v>431</v>
          </cell>
        </row>
        <row r="53">
          <cell r="X53">
            <v>347</v>
          </cell>
        </row>
        <row r="89">
          <cell r="X89">
            <v>348</v>
          </cell>
        </row>
        <row r="90">
          <cell r="X90">
            <v>333</v>
          </cell>
        </row>
        <row r="91">
          <cell r="X91">
            <v>439</v>
          </cell>
        </row>
        <row r="92">
          <cell r="X92">
            <v>288</v>
          </cell>
        </row>
        <row r="93">
          <cell r="X93">
            <v>195</v>
          </cell>
        </row>
        <row r="94">
          <cell r="X94">
            <v>460</v>
          </cell>
        </row>
        <row r="95">
          <cell r="X95">
            <v>241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Pay Increase"/>
      <sheetName val="Type 2 Charters"/>
      <sheetName val="Type 5 Charters"/>
      <sheetName val="Lab Schools"/>
      <sheetName val="PEP Excluding State Employees"/>
      <sheetName val="RSD PEP detail"/>
      <sheetName val="State Employees, ONLY"/>
    </sheetNames>
    <sheetDataSet>
      <sheetData sheetId="0">
        <row r="40">
          <cell r="D40">
            <v>2469595</v>
          </cell>
          <cell r="F40">
            <v>432268</v>
          </cell>
        </row>
        <row r="76">
          <cell r="D76">
            <v>260404</v>
          </cell>
          <cell r="F76">
            <v>30548</v>
          </cell>
        </row>
        <row r="77">
          <cell r="D77">
            <v>91385</v>
          </cell>
          <cell r="F77">
            <v>24801</v>
          </cell>
        </row>
        <row r="78">
          <cell r="D78">
            <v>3710790</v>
          </cell>
          <cell r="F78">
            <v>519921</v>
          </cell>
        </row>
      </sheetData>
      <sheetData sheetId="2">
        <row r="5">
          <cell r="D5">
            <v>74770</v>
          </cell>
          <cell r="F5">
            <v>14172</v>
          </cell>
        </row>
        <row r="6">
          <cell r="D6">
            <v>141308</v>
          </cell>
          <cell r="F6">
            <v>28344</v>
          </cell>
        </row>
        <row r="7">
          <cell r="D7">
            <v>130155</v>
          </cell>
          <cell r="F7">
            <v>33460</v>
          </cell>
        </row>
        <row r="8">
          <cell r="D8">
            <v>108000</v>
          </cell>
          <cell r="F8">
            <v>37749</v>
          </cell>
        </row>
        <row r="10">
          <cell r="D10">
            <v>65077</v>
          </cell>
          <cell r="F10">
            <v>16534</v>
          </cell>
        </row>
        <row r="11">
          <cell r="D11">
            <v>185540</v>
          </cell>
          <cell r="F11">
            <v>13356</v>
          </cell>
        </row>
        <row r="12">
          <cell r="D12">
            <v>108001</v>
          </cell>
          <cell r="F12">
            <v>17715</v>
          </cell>
        </row>
        <row r="13">
          <cell r="D13">
            <v>157847</v>
          </cell>
          <cell r="F13">
            <v>31887</v>
          </cell>
        </row>
        <row r="14">
          <cell r="D14">
            <v>146770</v>
          </cell>
          <cell r="F14">
            <v>49602</v>
          </cell>
        </row>
        <row r="15">
          <cell r="D15">
            <v>96924</v>
          </cell>
          <cell r="F15">
            <v>21258</v>
          </cell>
        </row>
        <row r="16">
          <cell r="D16">
            <v>132924</v>
          </cell>
          <cell r="F16">
            <v>14172</v>
          </cell>
        </row>
        <row r="17">
          <cell r="D17">
            <v>130155</v>
          </cell>
          <cell r="F17">
            <v>22439</v>
          </cell>
        </row>
        <row r="18">
          <cell r="D18">
            <v>55385</v>
          </cell>
          <cell r="F18">
            <v>7086</v>
          </cell>
        </row>
        <row r="19">
          <cell r="D19">
            <v>84500</v>
          </cell>
          <cell r="F19">
            <v>19841</v>
          </cell>
        </row>
        <row r="20">
          <cell r="D20">
            <v>106477</v>
          </cell>
          <cell r="F20">
            <v>20077</v>
          </cell>
        </row>
        <row r="21">
          <cell r="D21">
            <v>37233</v>
          </cell>
          <cell r="F21">
            <v>2829</v>
          </cell>
        </row>
        <row r="22">
          <cell r="D22">
            <v>13868</v>
          </cell>
          <cell r="F22">
            <v>2362</v>
          </cell>
        </row>
        <row r="23">
          <cell r="D23">
            <v>81194</v>
          </cell>
          <cell r="F23">
            <v>17190</v>
          </cell>
        </row>
        <row r="24">
          <cell r="D24">
            <v>15862</v>
          </cell>
          <cell r="F24">
            <v>1139</v>
          </cell>
        </row>
        <row r="25">
          <cell r="D25">
            <v>69675</v>
          </cell>
          <cell r="F25">
            <v>7972</v>
          </cell>
        </row>
        <row r="26">
          <cell r="D26">
            <v>98308</v>
          </cell>
          <cell r="F26">
            <v>11220</v>
          </cell>
        </row>
        <row r="27">
          <cell r="D27">
            <v>27693</v>
          </cell>
          <cell r="F27">
            <v>2362</v>
          </cell>
        </row>
        <row r="28">
          <cell r="D28">
            <v>85847</v>
          </cell>
          <cell r="F28">
            <v>15353</v>
          </cell>
        </row>
        <row r="29">
          <cell r="D29">
            <v>19385</v>
          </cell>
          <cell r="F29">
            <v>5887</v>
          </cell>
        </row>
        <row r="30">
          <cell r="D30">
            <v>72001</v>
          </cell>
          <cell r="F30">
            <v>5905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Summary of Simulation 1"/>
      <sheetName val="Table 1 State Summary"/>
      <sheetName val="Table 2 Distributions &amp; Adjust"/>
      <sheetName val="Table 3 Levels 1&amp;2"/>
      <sheetName val="Table 4 Level 3"/>
      <sheetName val="Table 4A Stipends"/>
      <sheetName val="Table 5A Lab Schools"/>
      <sheetName val="Table 5B1_RSD_Orleans"/>
      <sheetName val="Table 5B2_RSD_LA"/>
      <sheetName val="Table 5C_Type 2"/>
      <sheetName val="Table 6 (Local Deduct Calc.)"/>
      <sheetName val="Table 7 Local Revenue"/>
      <sheetName val="Table 8 Membership, 2.1.09"/>
      <sheetName val="Table 3A Cert Pay Req"/>
    </sheetNames>
    <sheetDataSet>
      <sheetData sheetId="8">
        <row r="36">
          <cell r="H36">
            <v>283.49</v>
          </cell>
          <cell r="L36">
            <v>46.35</v>
          </cell>
        </row>
        <row r="37">
          <cell r="H37">
            <v>283.49</v>
          </cell>
          <cell r="L37">
            <v>46.35</v>
          </cell>
        </row>
        <row r="38">
          <cell r="H38">
            <v>283.49</v>
          </cell>
          <cell r="L38">
            <v>46.35</v>
          </cell>
        </row>
        <row r="39">
          <cell r="H39">
            <v>283.49</v>
          </cell>
          <cell r="L39">
            <v>46.35</v>
          </cell>
        </row>
        <row r="40">
          <cell r="H40">
            <v>283.49</v>
          </cell>
          <cell r="L40">
            <v>46.35</v>
          </cell>
        </row>
        <row r="41">
          <cell r="H41">
            <v>283.49</v>
          </cell>
          <cell r="L41">
            <v>46.35</v>
          </cell>
        </row>
        <row r="42">
          <cell r="H42">
            <v>283.49</v>
          </cell>
          <cell r="L42">
            <v>46.35</v>
          </cell>
        </row>
        <row r="43">
          <cell r="H43">
            <v>283.49</v>
          </cell>
          <cell r="L43">
            <v>46.35</v>
          </cell>
          <cell r="Q43">
            <v>103.83356164383562</v>
          </cell>
        </row>
        <row r="44">
          <cell r="H44">
            <v>283.49</v>
          </cell>
          <cell r="L44">
            <v>46.35</v>
          </cell>
          <cell r="Q44">
            <v>103.83356164383562</v>
          </cell>
        </row>
        <row r="45">
          <cell r="H45">
            <v>283.49</v>
          </cell>
          <cell r="L45">
            <v>46.35</v>
          </cell>
          <cell r="Q45">
            <v>103.83356164383562</v>
          </cell>
        </row>
        <row r="46">
          <cell r="H46">
            <v>283.49</v>
          </cell>
          <cell r="L46">
            <v>46.35</v>
          </cell>
          <cell r="Q46">
            <v>103.83356164383562</v>
          </cell>
        </row>
        <row r="47">
          <cell r="H47">
            <v>263.63432835820896</v>
          </cell>
          <cell r="L47">
            <v>52.88059701492537</v>
          </cell>
          <cell r="Q47">
            <v>138.846921797005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_MFP &amp; Funded Membership"/>
    </sheetNames>
    <sheetDataSet>
      <sheetData sheetId="0">
        <row r="66">
          <cell r="U66">
            <v>9363</v>
          </cell>
        </row>
        <row r="112">
          <cell r="U112">
            <v>202</v>
          </cell>
        </row>
        <row r="114">
          <cell r="U114">
            <v>92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Y2009-10 MFP SFSF Funds"/>
      <sheetName val="RSD - Orleans"/>
      <sheetName val="RSD - LA"/>
    </sheetNames>
    <sheetDataSet>
      <sheetData sheetId="0">
        <row r="78">
          <cell r="D78">
            <v>12394</v>
          </cell>
        </row>
        <row r="79">
          <cell r="D79">
            <v>40619</v>
          </cell>
        </row>
      </sheetData>
      <sheetData sheetId="1">
        <row r="5">
          <cell r="C5">
            <v>1102070</v>
          </cell>
        </row>
        <row r="7">
          <cell r="C7">
            <v>1333780</v>
          </cell>
        </row>
        <row r="9">
          <cell r="C9">
            <v>35808</v>
          </cell>
        </row>
        <row r="10">
          <cell r="C10">
            <v>39685</v>
          </cell>
        </row>
        <row r="11">
          <cell r="C11">
            <v>76423</v>
          </cell>
        </row>
        <row r="12">
          <cell r="C12">
            <v>62477</v>
          </cell>
        </row>
        <row r="13">
          <cell r="C13">
            <v>36702</v>
          </cell>
        </row>
        <row r="14">
          <cell r="C14">
            <v>80021</v>
          </cell>
        </row>
        <row r="15">
          <cell r="C15">
            <v>43308</v>
          </cell>
        </row>
        <row r="16">
          <cell r="C16">
            <v>90733</v>
          </cell>
        </row>
        <row r="17">
          <cell r="C17">
            <v>56919</v>
          </cell>
        </row>
        <row r="18">
          <cell r="C18">
            <v>44710</v>
          </cell>
        </row>
        <row r="19">
          <cell r="C19">
            <v>60116</v>
          </cell>
        </row>
        <row r="20">
          <cell r="C20">
            <v>64622</v>
          </cell>
        </row>
        <row r="21">
          <cell r="C21">
            <v>29887</v>
          </cell>
        </row>
        <row r="22">
          <cell r="C22">
            <v>36254</v>
          </cell>
        </row>
        <row r="23">
          <cell r="C23">
            <v>48303</v>
          </cell>
        </row>
        <row r="24">
          <cell r="C24">
            <v>27948</v>
          </cell>
        </row>
        <row r="25">
          <cell r="C25">
            <v>18797</v>
          </cell>
        </row>
        <row r="26">
          <cell r="C26">
            <v>44156</v>
          </cell>
        </row>
        <row r="27">
          <cell r="C27">
            <v>17517</v>
          </cell>
        </row>
        <row r="28">
          <cell r="C28">
            <v>51017</v>
          </cell>
        </row>
        <row r="29">
          <cell r="C29">
            <v>39619</v>
          </cell>
        </row>
        <row r="30">
          <cell r="C30">
            <v>50034</v>
          </cell>
        </row>
        <row r="31">
          <cell r="C31">
            <v>44849</v>
          </cell>
        </row>
        <row r="32">
          <cell r="C32">
            <v>17304</v>
          </cell>
        </row>
        <row r="33">
          <cell r="C33">
            <v>39883</v>
          </cell>
        </row>
        <row r="34">
          <cell r="C34">
            <v>9565</v>
          </cell>
        </row>
        <row r="35">
          <cell r="C35">
            <v>7331</v>
          </cell>
        </row>
        <row r="36">
          <cell r="C36">
            <v>13405</v>
          </cell>
        </row>
        <row r="37">
          <cell r="C37">
            <v>27044</v>
          </cell>
        </row>
        <row r="38">
          <cell r="C38">
            <v>10582</v>
          </cell>
        </row>
        <row r="39">
          <cell r="C39">
            <v>20908</v>
          </cell>
        </row>
        <row r="40">
          <cell r="C40">
            <v>11661</v>
          </cell>
        </row>
        <row r="41">
          <cell r="C41">
            <v>9018</v>
          </cell>
        </row>
        <row r="42">
          <cell r="C42">
            <v>10821</v>
          </cell>
        </row>
        <row r="43">
          <cell r="C43">
            <v>23784</v>
          </cell>
        </row>
        <row r="44">
          <cell r="C44">
            <v>11272</v>
          </cell>
        </row>
        <row r="45">
          <cell r="C45">
            <v>28573</v>
          </cell>
        </row>
      </sheetData>
      <sheetData sheetId="2">
        <row r="5">
          <cell r="C5">
            <v>4962462</v>
          </cell>
        </row>
        <row r="7">
          <cell r="C7">
            <v>52546</v>
          </cell>
        </row>
        <row r="8">
          <cell r="C8">
            <v>52193</v>
          </cell>
        </row>
        <row r="9">
          <cell r="C9">
            <v>24326</v>
          </cell>
        </row>
        <row r="10">
          <cell r="C10">
            <v>23473</v>
          </cell>
        </row>
        <row r="11">
          <cell r="C11">
            <v>45111</v>
          </cell>
        </row>
        <row r="12">
          <cell r="C12">
            <v>35197</v>
          </cell>
        </row>
        <row r="13">
          <cell r="C13">
            <v>66427</v>
          </cell>
        </row>
        <row r="14">
          <cell r="C14">
            <v>55150</v>
          </cell>
        </row>
        <row r="22">
          <cell r="C22">
            <v>332184</v>
          </cell>
        </row>
        <row r="24">
          <cell r="C24">
            <v>53909</v>
          </cell>
        </row>
        <row r="31">
          <cell r="C31">
            <v>6556398</v>
          </cell>
        </row>
        <row r="33">
          <cell r="C33">
            <v>44630</v>
          </cell>
        </row>
        <row r="34">
          <cell r="C34">
            <v>112955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Y2009-10 FINAL"/>
      <sheetName val="Detail Calculation"/>
      <sheetName val="Rev_Fees_FACSminusDS_CP"/>
      <sheetName val="AFR Queries"/>
      <sheetName val="FacilityAcq_Type 5 only"/>
      <sheetName val="Instructions"/>
    </sheetNames>
    <sheetDataSet>
      <sheetData sheetId="0">
        <row r="23">
          <cell r="C23">
            <v>5626</v>
          </cell>
        </row>
        <row r="73">
          <cell r="C73">
            <v>3472</v>
          </cell>
        </row>
        <row r="74">
          <cell r="E74">
            <v>3334.2</v>
          </cell>
        </row>
        <row r="75">
          <cell r="C75">
            <v>2979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_MFP &amp; Funded Membership"/>
    </sheetNames>
    <sheetDataSet>
      <sheetData sheetId="0">
        <row r="9">
          <cell r="U9">
            <v>9102</v>
          </cell>
        </row>
        <row r="10">
          <cell r="U10">
            <v>4018</v>
          </cell>
        </row>
        <row r="11">
          <cell r="U11">
            <v>19028</v>
          </cell>
        </row>
        <row r="12">
          <cell r="U12">
            <v>3681</v>
          </cell>
        </row>
        <row r="13">
          <cell r="U13">
            <v>5858</v>
          </cell>
        </row>
        <row r="14">
          <cell r="U14">
            <v>5976</v>
          </cell>
        </row>
        <row r="15">
          <cell r="U15">
            <v>2226</v>
          </cell>
        </row>
        <row r="16">
          <cell r="U16">
            <v>19851</v>
          </cell>
        </row>
        <row r="17">
          <cell r="U17">
            <v>40593</v>
          </cell>
        </row>
        <row r="18">
          <cell r="U18">
            <v>31102</v>
          </cell>
        </row>
        <row r="19">
          <cell r="U19">
            <v>1621</v>
          </cell>
        </row>
        <row r="20">
          <cell r="U20">
            <v>1289</v>
          </cell>
        </row>
        <row r="21">
          <cell r="U21">
            <v>1553</v>
          </cell>
        </row>
        <row r="22">
          <cell r="U22">
            <v>2121</v>
          </cell>
        </row>
        <row r="23">
          <cell r="U23">
            <v>3698</v>
          </cell>
        </row>
        <row r="24">
          <cell r="U24">
            <v>4615</v>
          </cell>
        </row>
        <row r="25">
          <cell r="U25">
            <v>40816</v>
          </cell>
        </row>
        <row r="26">
          <cell r="U26">
            <v>1266</v>
          </cell>
        </row>
        <row r="27">
          <cell r="U27">
            <v>2021</v>
          </cell>
        </row>
        <row r="28">
          <cell r="U28">
            <v>5722</v>
          </cell>
        </row>
        <row r="29">
          <cell r="U29">
            <v>2926</v>
          </cell>
        </row>
        <row r="30">
          <cell r="U30">
            <v>3342</v>
          </cell>
        </row>
        <row r="31">
          <cell r="U31">
            <v>13168</v>
          </cell>
        </row>
        <row r="32">
          <cell r="U32">
            <v>4025</v>
          </cell>
        </row>
        <row r="33">
          <cell r="U33">
            <v>2225</v>
          </cell>
        </row>
        <row r="34">
          <cell r="U34">
            <v>42472</v>
          </cell>
        </row>
        <row r="35">
          <cell r="U35">
            <v>5654</v>
          </cell>
        </row>
        <row r="36">
          <cell r="U36">
            <v>29043</v>
          </cell>
        </row>
        <row r="37">
          <cell r="U37">
            <v>13649</v>
          </cell>
        </row>
        <row r="38">
          <cell r="U38">
            <v>2458</v>
          </cell>
        </row>
        <row r="39">
          <cell r="U39">
            <v>6409</v>
          </cell>
        </row>
        <row r="40">
          <cell r="U40">
            <v>23757</v>
          </cell>
        </row>
        <row r="41">
          <cell r="U41">
            <v>1856</v>
          </cell>
        </row>
        <row r="42">
          <cell r="U42">
            <v>4605</v>
          </cell>
        </row>
        <row r="43">
          <cell r="U43">
            <v>6416</v>
          </cell>
        </row>
        <row r="44">
          <cell r="U44">
            <v>10040</v>
          </cell>
        </row>
        <row r="45">
          <cell r="U45">
            <v>18817</v>
          </cell>
        </row>
        <row r="46">
          <cell r="U46">
            <v>3650</v>
          </cell>
        </row>
        <row r="47">
          <cell r="U47">
            <v>2480</v>
          </cell>
        </row>
        <row r="48">
          <cell r="U48">
            <v>22611</v>
          </cell>
        </row>
        <row r="49">
          <cell r="U49">
            <v>1396</v>
          </cell>
        </row>
        <row r="50">
          <cell r="U50">
            <v>3289</v>
          </cell>
        </row>
        <row r="51">
          <cell r="U51">
            <v>4004</v>
          </cell>
        </row>
        <row r="52">
          <cell r="U52">
            <v>4912</v>
          </cell>
        </row>
        <row r="53">
          <cell r="U53">
            <v>9384</v>
          </cell>
        </row>
        <row r="54">
          <cell r="U54">
            <v>1130</v>
          </cell>
        </row>
        <row r="55">
          <cell r="U55">
            <v>3721</v>
          </cell>
        </row>
        <row r="56">
          <cell r="U56">
            <v>6034</v>
          </cell>
        </row>
        <row r="57">
          <cell r="U57">
            <v>14515</v>
          </cell>
        </row>
        <row r="58">
          <cell r="U58">
            <v>7968</v>
          </cell>
        </row>
        <row r="59">
          <cell r="U59">
            <v>8999</v>
          </cell>
        </row>
        <row r="60">
          <cell r="U60">
            <v>35501</v>
          </cell>
        </row>
        <row r="61">
          <cell r="U61">
            <v>18595</v>
          </cell>
        </row>
        <row r="62">
          <cell r="U62">
            <v>708</v>
          </cell>
        </row>
        <row r="63">
          <cell r="U63">
            <v>17788</v>
          </cell>
        </row>
        <row r="64">
          <cell r="U64">
            <v>2584</v>
          </cell>
        </row>
        <row r="65">
          <cell r="U65">
            <v>8647</v>
          </cell>
        </row>
        <row r="66">
          <cell r="U66">
            <v>9350</v>
          </cell>
        </row>
        <row r="67">
          <cell r="U67">
            <v>5036</v>
          </cell>
        </row>
        <row r="68">
          <cell r="U68">
            <v>6850</v>
          </cell>
        </row>
        <row r="69">
          <cell r="U69">
            <v>3467</v>
          </cell>
        </row>
        <row r="70">
          <cell r="U70">
            <v>2099</v>
          </cell>
        </row>
        <row r="71">
          <cell r="U71">
            <v>2089</v>
          </cell>
        </row>
        <row r="72">
          <cell r="U72">
            <v>2470</v>
          </cell>
        </row>
        <row r="73">
          <cell r="U73">
            <v>8311</v>
          </cell>
        </row>
        <row r="74">
          <cell r="U74">
            <v>2136</v>
          </cell>
        </row>
        <row r="75">
          <cell r="U75">
            <v>4745</v>
          </cell>
        </row>
        <row r="76">
          <cell r="U76">
            <v>1912</v>
          </cell>
        </row>
        <row r="77">
          <cell r="U77">
            <v>3708</v>
          </cell>
        </row>
        <row r="90">
          <cell r="U90">
            <v>1350</v>
          </cell>
        </row>
        <row r="91">
          <cell r="U91">
            <v>325</v>
          </cell>
        </row>
        <row r="112">
          <cell r="U112">
            <v>216</v>
          </cell>
        </row>
        <row r="114">
          <cell r="U114">
            <v>88</v>
          </cell>
        </row>
        <row r="153">
          <cell r="U153">
            <v>11479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_RSD Members &amp; At-Risk By Site"/>
    </sheetNames>
    <sheetDataSet>
      <sheetData sheetId="0">
        <row r="10">
          <cell r="W10">
            <v>415</v>
          </cell>
        </row>
        <row r="11">
          <cell r="W11">
            <v>370</v>
          </cell>
        </row>
        <row r="12">
          <cell r="W12">
            <v>382</v>
          </cell>
        </row>
        <row r="13">
          <cell r="W13">
            <v>253</v>
          </cell>
        </row>
        <row r="14">
          <cell r="W14">
            <v>532</v>
          </cell>
        </row>
        <row r="15">
          <cell r="W15">
            <v>416</v>
          </cell>
        </row>
        <row r="16">
          <cell r="W16">
            <v>161</v>
          </cell>
        </row>
        <row r="17">
          <cell r="W17">
            <v>239</v>
          </cell>
        </row>
        <row r="18">
          <cell r="W18">
            <v>122</v>
          </cell>
        </row>
        <row r="19">
          <cell r="W19">
            <v>96</v>
          </cell>
        </row>
        <row r="20">
          <cell r="W20">
            <v>290</v>
          </cell>
        </row>
        <row r="21">
          <cell r="W21">
            <v>269</v>
          </cell>
        </row>
        <row r="22">
          <cell r="W22">
            <v>368</v>
          </cell>
        </row>
        <row r="23">
          <cell r="W23">
            <v>338</v>
          </cell>
        </row>
        <row r="24">
          <cell r="W24">
            <v>265</v>
          </cell>
        </row>
        <row r="25">
          <cell r="W25">
            <v>205</v>
          </cell>
        </row>
        <row r="26">
          <cell r="W26">
            <v>194</v>
          </cell>
        </row>
        <row r="27">
          <cell r="W27">
            <v>135</v>
          </cell>
        </row>
        <row r="28">
          <cell r="W28">
            <v>303</v>
          </cell>
        </row>
        <row r="29">
          <cell r="W29">
            <v>162</v>
          </cell>
        </row>
        <row r="30">
          <cell r="W30">
            <v>161</v>
          </cell>
        </row>
        <row r="31">
          <cell r="W31">
            <v>167</v>
          </cell>
        </row>
        <row r="32">
          <cell r="W32">
            <v>344</v>
          </cell>
        </row>
        <row r="33">
          <cell r="W33">
            <v>426</v>
          </cell>
        </row>
        <row r="34">
          <cell r="W34">
            <v>333</v>
          </cell>
        </row>
        <row r="35">
          <cell r="W35">
            <v>490</v>
          </cell>
        </row>
        <row r="36">
          <cell r="W36">
            <v>525</v>
          </cell>
        </row>
        <row r="37">
          <cell r="W37">
            <v>486</v>
          </cell>
        </row>
        <row r="38">
          <cell r="W38">
            <v>426</v>
          </cell>
        </row>
        <row r="39">
          <cell r="W39">
            <v>593</v>
          </cell>
        </row>
        <row r="40">
          <cell r="W40">
            <v>616</v>
          </cell>
        </row>
        <row r="41">
          <cell r="W41">
            <v>369</v>
          </cell>
        </row>
        <row r="42">
          <cell r="W42">
            <v>737</v>
          </cell>
        </row>
        <row r="43">
          <cell r="W43">
            <v>485</v>
          </cell>
        </row>
        <row r="44">
          <cell r="W44">
            <v>580</v>
          </cell>
        </row>
        <row r="45">
          <cell r="W45">
            <v>577</v>
          </cell>
        </row>
        <row r="46">
          <cell r="W46">
            <v>413</v>
          </cell>
        </row>
        <row r="47">
          <cell r="W47">
            <v>543</v>
          </cell>
        </row>
        <row r="48">
          <cell r="W48">
            <v>837</v>
          </cell>
        </row>
        <row r="49">
          <cell r="W49">
            <v>431</v>
          </cell>
        </row>
        <row r="50">
          <cell r="W50">
            <v>336</v>
          </cell>
        </row>
        <row r="51">
          <cell r="W51">
            <v>356</v>
          </cell>
        </row>
        <row r="52">
          <cell r="W52">
            <v>332</v>
          </cell>
        </row>
        <row r="53">
          <cell r="W53">
            <v>441</v>
          </cell>
        </row>
        <row r="54">
          <cell r="W54">
            <v>278</v>
          </cell>
        </row>
        <row r="55">
          <cell r="W55">
            <v>191</v>
          </cell>
        </row>
        <row r="56">
          <cell r="W56">
            <v>456</v>
          </cell>
        </row>
        <row r="57">
          <cell r="W57">
            <v>241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FP"/>
      <sheetName val="RSD-NO"/>
      <sheetName val="RSD-LA"/>
      <sheetName val="Type 2"/>
    </sheetNames>
    <sheetDataSet>
      <sheetData sheetId="0">
        <row r="8">
          <cell r="BY8">
            <v>32058138</v>
          </cell>
        </row>
        <row r="9">
          <cell r="BY9">
            <v>17656249</v>
          </cell>
        </row>
        <row r="10">
          <cell r="BY10">
            <v>58066706</v>
          </cell>
        </row>
        <row r="11">
          <cell r="BY11">
            <v>16156033</v>
          </cell>
        </row>
        <row r="12">
          <cell r="BY12">
            <v>21122166</v>
          </cell>
        </row>
        <row r="13">
          <cell r="BY13">
            <v>22768406</v>
          </cell>
        </row>
        <row r="14">
          <cell r="BY14">
            <v>4638327</v>
          </cell>
        </row>
        <row r="15">
          <cell r="BY15">
            <v>63885492</v>
          </cell>
        </row>
        <row r="16">
          <cell r="BY16">
            <v>96099963</v>
          </cell>
        </row>
        <row r="17">
          <cell r="BY17">
            <v>7022910</v>
          </cell>
        </row>
        <row r="18">
          <cell r="BY18">
            <v>3255233</v>
          </cell>
        </row>
        <row r="19">
          <cell r="BY19">
            <v>6608747</v>
          </cell>
        </row>
        <row r="20">
          <cell r="BY20">
            <v>9741069</v>
          </cell>
        </row>
        <row r="21">
          <cell r="BY21">
            <v>14423927</v>
          </cell>
        </row>
        <row r="22">
          <cell r="BY22">
            <v>14807336</v>
          </cell>
        </row>
        <row r="23">
          <cell r="BY23">
            <v>5796662</v>
          </cell>
        </row>
        <row r="24">
          <cell r="BY24">
            <v>8460818</v>
          </cell>
        </row>
        <row r="25">
          <cell r="BY25">
            <v>22733902</v>
          </cell>
        </row>
        <row r="26">
          <cell r="BY26">
            <v>11977555</v>
          </cell>
        </row>
        <row r="27">
          <cell r="BY27">
            <v>13702059</v>
          </cell>
        </row>
        <row r="28">
          <cell r="BY28">
            <v>47981922</v>
          </cell>
        </row>
        <row r="29">
          <cell r="BY29">
            <v>10407588</v>
          </cell>
        </row>
        <row r="30">
          <cell r="BY30">
            <v>6639202</v>
          </cell>
        </row>
        <row r="31">
          <cell r="BY31">
            <v>101892024</v>
          </cell>
        </row>
        <row r="32">
          <cell r="BY32">
            <v>23197805</v>
          </cell>
        </row>
        <row r="33">
          <cell r="BY33">
            <v>75419084</v>
          </cell>
        </row>
        <row r="34">
          <cell r="BY34">
            <v>45478218</v>
          </cell>
        </row>
        <row r="35">
          <cell r="BY35">
            <v>9830458</v>
          </cell>
        </row>
        <row r="36">
          <cell r="BY36">
            <v>20501292</v>
          </cell>
        </row>
        <row r="37">
          <cell r="BY37">
            <v>92413561</v>
          </cell>
        </row>
        <row r="38">
          <cell r="BY38">
            <v>9292707</v>
          </cell>
        </row>
        <row r="39">
          <cell r="BY39">
            <v>19939832</v>
          </cell>
        </row>
        <row r="40">
          <cell r="BY40">
            <v>22807834</v>
          </cell>
        </row>
        <row r="41">
          <cell r="BY41">
            <v>74175256</v>
          </cell>
        </row>
        <row r="42">
          <cell r="BY42">
            <v>8269225</v>
          </cell>
        </row>
        <row r="43">
          <cell r="BY43">
            <v>78895979</v>
          </cell>
        </row>
        <row r="44">
          <cell r="BY44">
            <v>6570659</v>
          </cell>
        </row>
        <row r="45">
          <cell r="BY45">
            <v>13140825</v>
          </cell>
        </row>
        <row r="46">
          <cell r="BY46">
            <v>16628824</v>
          </cell>
        </row>
        <row r="47">
          <cell r="BY47">
            <v>13869668</v>
          </cell>
        </row>
        <row r="48">
          <cell r="BY48">
            <v>20300906</v>
          </cell>
        </row>
        <row r="49">
          <cell r="BY49">
            <v>4836208</v>
          </cell>
        </row>
        <row r="50">
          <cell r="BY50">
            <v>11351812</v>
          </cell>
        </row>
        <row r="51">
          <cell r="BY51">
            <v>19951232</v>
          </cell>
        </row>
        <row r="52">
          <cell r="BY52">
            <v>50985031</v>
          </cell>
        </row>
        <row r="53">
          <cell r="BY53">
            <v>29484466</v>
          </cell>
        </row>
        <row r="54">
          <cell r="BY54">
            <v>31660500</v>
          </cell>
        </row>
        <row r="55">
          <cell r="BY55">
            <v>120977335</v>
          </cell>
        </row>
        <row r="56">
          <cell r="BY56">
            <v>66492873</v>
          </cell>
        </row>
        <row r="57">
          <cell r="BY57">
            <v>3022192</v>
          </cell>
        </row>
        <row r="58">
          <cell r="BY58">
            <v>56477456</v>
          </cell>
        </row>
        <row r="59">
          <cell r="BY59">
            <v>25361531</v>
          </cell>
        </row>
        <row r="60">
          <cell r="BY60">
            <v>36552498</v>
          </cell>
        </row>
        <row r="61">
          <cell r="BY61">
            <v>22443575</v>
          </cell>
        </row>
        <row r="62">
          <cell r="BY62">
            <v>25414494</v>
          </cell>
        </row>
        <row r="63">
          <cell r="BY63">
            <v>8694734</v>
          </cell>
        </row>
        <row r="64">
          <cell r="BY64">
            <v>8467240</v>
          </cell>
        </row>
        <row r="65">
          <cell r="BY65">
            <v>7350070</v>
          </cell>
        </row>
        <row r="66">
          <cell r="BY66">
            <v>10067887</v>
          </cell>
        </row>
        <row r="67">
          <cell r="BY67">
            <v>27715075</v>
          </cell>
        </row>
        <row r="68">
          <cell r="BY68">
            <v>9100272</v>
          </cell>
        </row>
        <row r="69">
          <cell r="BY69">
            <v>17421575</v>
          </cell>
        </row>
        <row r="70">
          <cell r="BY70">
            <v>8364364</v>
          </cell>
        </row>
        <row r="71">
          <cell r="BY71">
            <v>12864960</v>
          </cell>
        </row>
        <row r="72">
          <cell r="BY72">
            <v>139578292</v>
          </cell>
        </row>
        <row r="74">
          <cell r="BY74">
            <v>106366663</v>
          </cell>
        </row>
        <row r="76">
          <cell r="BY76">
            <v>11156663</v>
          </cell>
        </row>
        <row r="78">
          <cell r="BY78">
            <v>7080386</v>
          </cell>
        </row>
        <row r="80">
          <cell r="BY80">
            <v>23641441</v>
          </cell>
        </row>
        <row r="84">
          <cell r="BY84">
            <v>4333899</v>
          </cell>
        </row>
        <row r="85">
          <cell r="BY85">
            <v>1122913</v>
          </cell>
        </row>
        <row r="88">
          <cell r="BU88">
            <v>248898</v>
          </cell>
          <cell r="BW88">
            <v>336281</v>
          </cell>
        </row>
        <row r="89">
          <cell r="BU89">
            <v>824316</v>
          </cell>
          <cell r="BW89">
            <v>264558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April 2010 Allocation"/>
      <sheetName val="Feb 1 midyear adj"/>
      <sheetName val="Compariso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Y2009-10 FINAL"/>
      <sheetName val="Detail Calculation"/>
      <sheetName val="Rev_Fees_FACSminusDS_CP"/>
      <sheetName val="AFR Queries"/>
      <sheetName val="FacilityAcq_Type 5 only"/>
      <sheetName val="Instructions"/>
    </sheetNames>
    <sheetDataSet>
      <sheetData sheetId="0">
        <row r="37">
          <cell r="C37">
            <v>4217</v>
          </cell>
        </row>
        <row r="43">
          <cell r="E43">
            <v>2862.85</v>
          </cell>
        </row>
        <row r="62">
          <cell r="C62">
            <v>2834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Summary of Simulation 1"/>
      <sheetName val="Table 1 State Summary"/>
      <sheetName val="Table 2 Distributions &amp; Adjust"/>
      <sheetName val="Table 3 Levels 1&amp;2"/>
      <sheetName val="Table 4 Level 3"/>
      <sheetName val="Table 4A Stipends"/>
      <sheetName val="Table 5A Lab Schools"/>
      <sheetName val="Table 5B1_RSD_Orleans"/>
      <sheetName val="Table 5B2_RSD_LA"/>
      <sheetName val="Table 5C_Type 2"/>
      <sheetName val="Table 5C1 Madison Prep-CSAL"/>
      <sheetName val="Table 5C2-D'Arbonne Woods"/>
      <sheetName val="Table 6 (Local Deduct Calc.)"/>
      <sheetName val="Table 7 Local Revenue"/>
      <sheetName val="Table 8 Membership, 2.1.09"/>
      <sheetName val="Table 3A Cert Pay Req"/>
      <sheetName val="Dec Midyear Adjustment"/>
      <sheetName val="March Midyear Adjustment"/>
      <sheetName val="RSD-LDE Membership Explanation"/>
    </sheetNames>
    <sheetDataSet>
      <sheetData sheetId="3">
        <row r="7">
          <cell r="R7">
            <v>4053081</v>
          </cell>
        </row>
        <row r="8">
          <cell r="R8">
            <v>2172452</v>
          </cell>
        </row>
        <row r="9">
          <cell r="R9">
            <v>7316425</v>
          </cell>
        </row>
        <row r="10">
          <cell r="R10">
            <v>1987801</v>
          </cell>
        </row>
        <row r="11">
          <cell r="R11">
            <v>2598720</v>
          </cell>
        </row>
        <row r="12">
          <cell r="R12">
            <v>2848005</v>
          </cell>
        </row>
        <row r="13">
          <cell r="R13">
            <v>607206</v>
          </cell>
        </row>
        <row r="14">
          <cell r="R14">
            <v>8158866</v>
          </cell>
        </row>
        <row r="15">
          <cell r="R15">
            <v>17366437</v>
          </cell>
        </row>
        <row r="16">
          <cell r="R16">
            <v>12026274</v>
          </cell>
        </row>
        <row r="17">
          <cell r="R17">
            <v>864082</v>
          </cell>
        </row>
        <row r="18">
          <cell r="R18">
            <v>400522</v>
          </cell>
        </row>
        <row r="19">
          <cell r="R19">
            <v>813136</v>
          </cell>
        </row>
        <row r="20">
          <cell r="R20">
            <v>1198410</v>
          </cell>
        </row>
        <row r="21">
          <cell r="R21">
            <v>1774713</v>
          </cell>
        </row>
        <row r="22">
          <cell r="R22">
            <v>1821858</v>
          </cell>
        </row>
        <row r="23">
          <cell r="R23">
            <v>13437849</v>
          </cell>
        </row>
        <row r="24">
          <cell r="R24">
            <v>713274</v>
          </cell>
        </row>
        <row r="25">
          <cell r="R25">
            <v>1040980</v>
          </cell>
        </row>
        <row r="26">
          <cell r="R26">
            <v>2846735</v>
          </cell>
        </row>
        <row r="27">
          <cell r="R27">
            <v>1473713</v>
          </cell>
        </row>
        <row r="28">
          <cell r="R28">
            <v>1685758</v>
          </cell>
        </row>
        <row r="29">
          <cell r="R29">
            <v>5903608</v>
          </cell>
        </row>
        <row r="30">
          <cell r="R30">
            <v>1280526</v>
          </cell>
        </row>
        <row r="31">
          <cell r="R31">
            <v>829790</v>
          </cell>
        </row>
        <row r="32">
          <cell r="R32">
            <v>12871791</v>
          </cell>
        </row>
        <row r="33">
          <cell r="R33">
            <v>2893743</v>
          </cell>
        </row>
        <row r="34">
          <cell r="R34">
            <v>9484502</v>
          </cell>
        </row>
        <row r="35">
          <cell r="R35">
            <v>5632792</v>
          </cell>
        </row>
        <row r="36">
          <cell r="R36">
            <v>1209597</v>
          </cell>
        </row>
        <row r="37">
          <cell r="R37">
            <v>2522433</v>
          </cell>
        </row>
        <row r="38">
          <cell r="R38">
            <v>11554721</v>
          </cell>
        </row>
        <row r="39">
          <cell r="R39">
            <v>1143369</v>
          </cell>
        </row>
        <row r="40">
          <cell r="R40">
            <v>2453332</v>
          </cell>
        </row>
        <row r="41">
          <cell r="R41">
            <v>2839253</v>
          </cell>
        </row>
        <row r="42">
          <cell r="R42">
            <v>2947224</v>
          </cell>
        </row>
        <row r="43">
          <cell r="R43">
            <v>9314660</v>
          </cell>
        </row>
        <row r="44">
          <cell r="R44">
            <v>1086756</v>
          </cell>
        </row>
        <row r="45">
          <cell r="R45">
            <v>885552</v>
          </cell>
        </row>
        <row r="46">
          <cell r="R46">
            <v>9832712</v>
          </cell>
        </row>
        <row r="47">
          <cell r="R47">
            <v>843970</v>
          </cell>
        </row>
        <row r="48">
          <cell r="R48">
            <v>1635541</v>
          </cell>
        </row>
        <row r="49">
          <cell r="R49">
            <v>2111374</v>
          </cell>
        </row>
        <row r="50">
          <cell r="R50">
            <v>1942860</v>
          </cell>
        </row>
        <row r="51">
          <cell r="R51">
            <v>2532821</v>
          </cell>
        </row>
        <row r="52">
          <cell r="R52">
            <v>608404</v>
          </cell>
        </row>
        <row r="53">
          <cell r="R53">
            <v>1396717</v>
          </cell>
        </row>
        <row r="54">
          <cell r="R54">
            <v>2454653</v>
          </cell>
        </row>
        <row r="55">
          <cell r="R55">
            <v>6347875</v>
          </cell>
        </row>
        <row r="56">
          <cell r="R56">
            <v>3627731</v>
          </cell>
        </row>
        <row r="57">
          <cell r="R57">
            <v>3895487</v>
          </cell>
        </row>
        <row r="58">
          <cell r="R58">
            <v>15208834</v>
          </cell>
        </row>
        <row r="59">
          <cell r="R59">
            <v>8252789</v>
          </cell>
        </row>
        <row r="60">
          <cell r="R60">
            <v>371843</v>
          </cell>
        </row>
        <row r="61">
          <cell r="R61">
            <v>6948883</v>
          </cell>
        </row>
        <row r="62">
          <cell r="R62">
            <v>1372698</v>
          </cell>
        </row>
        <row r="63">
          <cell r="R63">
            <v>3187297</v>
          </cell>
        </row>
        <row r="64">
          <cell r="R64">
            <v>4637713</v>
          </cell>
        </row>
        <row r="65">
          <cell r="R65">
            <v>2761432</v>
          </cell>
        </row>
        <row r="66">
          <cell r="R66">
            <v>3126853</v>
          </cell>
        </row>
        <row r="67">
          <cell r="R67">
            <v>1082894</v>
          </cell>
        </row>
        <row r="68">
          <cell r="R68">
            <v>1062185</v>
          </cell>
        </row>
        <row r="69">
          <cell r="R69">
            <v>904349</v>
          </cell>
        </row>
        <row r="70">
          <cell r="R70">
            <v>1238734</v>
          </cell>
        </row>
        <row r="71">
          <cell r="R71">
            <v>3442762</v>
          </cell>
        </row>
        <row r="72">
          <cell r="R72">
            <v>1119693</v>
          </cell>
        </row>
        <row r="73">
          <cell r="R73">
            <v>2281364</v>
          </cell>
        </row>
        <row r="74">
          <cell r="R74">
            <v>1086761</v>
          </cell>
        </row>
        <row r="75">
          <cell r="R75">
            <v>1679770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 Pay Increase"/>
      <sheetName val="Type 2 Charters"/>
      <sheetName val="Type 5 Charters"/>
      <sheetName val="Lab Schools"/>
      <sheetName val="PEP Excluding State Employees"/>
      <sheetName val="RSD PEP detail"/>
      <sheetName val="State Employees, ONLY"/>
    </sheetNames>
    <sheetDataSet>
      <sheetData sheetId="0">
        <row r="7">
          <cell r="D7">
            <v>2136478</v>
          </cell>
          <cell r="F7">
            <v>720167</v>
          </cell>
        </row>
        <row r="8">
          <cell r="D8">
            <v>1140931</v>
          </cell>
          <cell r="F8">
            <v>295250</v>
          </cell>
        </row>
        <row r="9">
          <cell r="D9">
            <v>4331077</v>
          </cell>
          <cell r="F9">
            <v>1082281</v>
          </cell>
        </row>
        <row r="10">
          <cell r="D10">
            <v>1004213</v>
          </cell>
          <cell r="F10">
            <v>336585</v>
          </cell>
        </row>
        <row r="11">
          <cell r="D11">
            <v>1205108</v>
          </cell>
          <cell r="F11">
            <v>343671</v>
          </cell>
        </row>
        <row r="12">
          <cell r="D12">
            <v>1416213</v>
          </cell>
          <cell r="F12">
            <v>439177</v>
          </cell>
        </row>
        <row r="13">
          <cell r="D13">
            <v>618938</v>
          </cell>
          <cell r="F13">
            <v>204348</v>
          </cell>
        </row>
        <row r="14">
          <cell r="D14">
            <v>4344077</v>
          </cell>
          <cell r="F14">
            <v>1221917</v>
          </cell>
        </row>
        <row r="15">
          <cell r="D15">
            <v>10143411</v>
          </cell>
          <cell r="F15">
            <v>3461299</v>
          </cell>
        </row>
        <row r="16">
          <cell r="D16">
            <v>8295953</v>
          </cell>
          <cell r="F16">
            <v>2282164</v>
          </cell>
        </row>
        <row r="17">
          <cell r="D17">
            <v>435921</v>
          </cell>
          <cell r="F17">
            <v>157509</v>
          </cell>
        </row>
        <row r="18">
          <cell r="D18">
            <v>495365</v>
          </cell>
          <cell r="F18">
            <v>142081</v>
          </cell>
        </row>
        <row r="19">
          <cell r="D19">
            <v>434441</v>
          </cell>
          <cell r="F19">
            <v>164685</v>
          </cell>
        </row>
        <row r="20">
          <cell r="D20">
            <v>653543</v>
          </cell>
          <cell r="F20">
            <v>224390</v>
          </cell>
        </row>
        <row r="21">
          <cell r="D21">
            <v>974022</v>
          </cell>
          <cell r="F21">
            <v>302177</v>
          </cell>
        </row>
        <row r="22">
          <cell r="D22">
            <v>1154791</v>
          </cell>
          <cell r="F22">
            <v>422089</v>
          </cell>
        </row>
        <row r="23">
          <cell r="D23">
            <v>10945344</v>
          </cell>
          <cell r="F23">
            <v>2690318</v>
          </cell>
        </row>
        <row r="24">
          <cell r="D24">
            <v>385841</v>
          </cell>
          <cell r="F24">
            <v>167312</v>
          </cell>
        </row>
        <row r="25">
          <cell r="D25">
            <v>622247</v>
          </cell>
          <cell r="F25">
            <v>197158</v>
          </cell>
        </row>
        <row r="26">
          <cell r="D26">
            <v>1525857</v>
          </cell>
          <cell r="F26">
            <v>418074</v>
          </cell>
        </row>
        <row r="27">
          <cell r="D27">
            <v>703223</v>
          </cell>
          <cell r="F27">
            <v>277458</v>
          </cell>
        </row>
        <row r="28">
          <cell r="D28">
            <v>749082</v>
          </cell>
          <cell r="F28">
            <v>233100</v>
          </cell>
        </row>
        <row r="29">
          <cell r="D29">
            <v>3432564</v>
          </cell>
          <cell r="F29">
            <v>838799</v>
          </cell>
        </row>
        <row r="30">
          <cell r="D30">
            <v>1052315</v>
          </cell>
          <cell r="F30">
            <v>316622</v>
          </cell>
        </row>
        <row r="31">
          <cell r="D31">
            <v>549872</v>
          </cell>
          <cell r="F31">
            <v>172248</v>
          </cell>
        </row>
        <row r="32">
          <cell r="D32">
            <v>11050836</v>
          </cell>
          <cell r="F32">
            <v>3171744</v>
          </cell>
        </row>
        <row r="33">
          <cell r="D33">
            <v>1335332</v>
          </cell>
          <cell r="F33">
            <v>428703</v>
          </cell>
        </row>
        <row r="34">
          <cell r="D34">
            <v>7242529</v>
          </cell>
          <cell r="F34">
            <v>1904932</v>
          </cell>
        </row>
        <row r="35">
          <cell r="D35">
            <v>3680405</v>
          </cell>
          <cell r="F35">
            <v>1175057</v>
          </cell>
        </row>
        <row r="36">
          <cell r="D36">
            <v>620677</v>
          </cell>
          <cell r="F36">
            <v>222293</v>
          </cell>
        </row>
        <row r="37">
          <cell r="D37">
            <v>1613107</v>
          </cell>
          <cell r="F37">
            <v>388943</v>
          </cell>
        </row>
        <row r="38">
          <cell r="D38">
            <v>5131420</v>
          </cell>
          <cell r="F38">
            <v>1454967</v>
          </cell>
        </row>
        <row r="39">
          <cell r="D39">
            <v>401497</v>
          </cell>
          <cell r="F39">
            <v>184236</v>
          </cell>
        </row>
        <row r="40">
          <cell r="D40">
            <v>1189639</v>
          </cell>
          <cell r="F40">
            <v>319996</v>
          </cell>
        </row>
        <row r="41">
          <cell r="D41">
            <v>1476100</v>
          </cell>
          <cell r="F41">
            <v>332652</v>
          </cell>
        </row>
        <row r="42">
          <cell r="D42">
            <v>2469595</v>
          </cell>
          <cell r="F42">
            <v>432268</v>
          </cell>
        </row>
        <row r="43">
          <cell r="D43">
            <v>4617676</v>
          </cell>
          <cell r="F43">
            <v>1554224</v>
          </cell>
        </row>
        <row r="44">
          <cell r="D44">
            <v>974776</v>
          </cell>
          <cell r="F44">
            <v>390911</v>
          </cell>
        </row>
        <row r="45">
          <cell r="D45">
            <v>745422</v>
          </cell>
          <cell r="F45">
            <v>219666</v>
          </cell>
        </row>
        <row r="46">
          <cell r="D46">
            <v>5604429</v>
          </cell>
          <cell r="F46">
            <v>1635685</v>
          </cell>
        </row>
        <row r="47">
          <cell r="D47">
            <v>403807</v>
          </cell>
          <cell r="F47">
            <v>144297</v>
          </cell>
        </row>
        <row r="48">
          <cell r="D48">
            <v>817482</v>
          </cell>
          <cell r="F48">
            <v>258976</v>
          </cell>
        </row>
        <row r="49">
          <cell r="D49">
            <v>1021853</v>
          </cell>
          <cell r="F49">
            <v>347336</v>
          </cell>
        </row>
        <row r="50">
          <cell r="D50">
            <v>1006563</v>
          </cell>
          <cell r="F50">
            <v>246116</v>
          </cell>
        </row>
        <row r="51">
          <cell r="D51">
            <v>2759558</v>
          </cell>
          <cell r="F51">
            <v>771193</v>
          </cell>
        </row>
        <row r="52">
          <cell r="D52">
            <v>266711</v>
          </cell>
          <cell r="F52">
            <v>97196</v>
          </cell>
        </row>
        <row r="53">
          <cell r="D53">
            <v>1087697</v>
          </cell>
          <cell r="F53">
            <v>270422</v>
          </cell>
        </row>
        <row r="54">
          <cell r="D54">
            <v>1754620</v>
          </cell>
          <cell r="F54">
            <v>414510</v>
          </cell>
        </row>
        <row r="55">
          <cell r="D55">
            <v>3536425</v>
          </cell>
          <cell r="F55">
            <v>1090129</v>
          </cell>
        </row>
        <row r="56">
          <cell r="D56">
            <v>1859521</v>
          </cell>
          <cell r="F56">
            <v>559174</v>
          </cell>
        </row>
        <row r="57">
          <cell r="D57">
            <v>2470339</v>
          </cell>
          <cell r="F57">
            <v>736689</v>
          </cell>
        </row>
        <row r="58">
          <cell r="D58">
            <v>8688367</v>
          </cell>
          <cell r="F58">
            <v>2504513</v>
          </cell>
        </row>
        <row r="59">
          <cell r="D59">
            <v>3980303</v>
          </cell>
          <cell r="F59">
            <v>1349225</v>
          </cell>
        </row>
        <row r="60">
          <cell r="D60">
            <v>225416</v>
          </cell>
          <cell r="F60">
            <v>93636</v>
          </cell>
        </row>
        <row r="61">
          <cell r="D61">
            <v>4754629</v>
          </cell>
          <cell r="F61">
            <v>1123715</v>
          </cell>
        </row>
        <row r="62">
          <cell r="D62">
            <v>663656</v>
          </cell>
          <cell r="F62">
            <v>236611</v>
          </cell>
        </row>
        <row r="63">
          <cell r="D63">
            <v>2159922</v>
          </cell>
          <cell r="F63">
            <v>513363</v>
          </cell>
        </row>
        <row r="64">
          <cell r="D64">
            <v>2126452</v>
          </cell>
          <cell r="F64">
            <v>718157</v>
          </cell>
        </row>
        <row r="65">
          <cell r="D65">
            <v>1257240</v>
          </cell>
          <cell r="F65">
            <v>425160</v>
          </cell>
        </row>
        <row r="66">
          <cell r="D66">
            <v>1584011</v>
          </cell>
          <cell r="F66">
            <v>464133</v>
          </cell>
        </row>
        <row r="67">
          <cell r="D67">
            <v>907794</v>
          </cell>
          <cell r="F67">
            <v>219635</v>
          </cell>
        </row>
        <row r="68">
          <cell r="D68">
            <v>526919</v>
          </cell>
          <cell r="F68">
            <v>136671</v>
          </cell>
        </row>
        <row r="69">
          <cell r="D69">
            <v>648167</v>
          </cell>
          <cell r="F69">
            <v>189408</v>
          </cell>
        </row>
        <row r="70">
          <cell r="D70">
            <v>605081</v>
          </cell>
          <cell r="F70">
            <v>226162</v>
          </cell>
        </row>
        <row r="71">
          <cell r="D71">
            <v>2100186</v>
          </cell>
          <cell r="F71">
            <v>761278</v>
          </cell>
        </row>
        <row r="72">
          <cell r="D72">
            <v>598967</v>
          </cell>
          <cell r="F72">
            <v>222019</v>
          </cell>
        </row>
        <row r="73">
          <cell r="D73">
            <v>924116</v>
          </cell>
          <cell r="F73">
            <v>161991</v>
          </cell>
        </row>
        <row r="74">
          <cell r="D74">
            <v>465705</v>
          </cell>
          <cell r="F74">
            <v>127548</v>
          </cell>
        </row>
        <row r="75">
          <cell r="D75">
            <v>620577</v>
          </cell>
          <cell r="F75">
            <v>87394</v>
          </cell>
        </row>
        <row r="80">
          <cell r="D80">
            <v>3710790</v>
          </cell>
          <cell r="F80">
            <v>519921</v>
          </cell>
        </row>
        <row r="81">
          <cell r="D81">
            <v>2285053</v>
          </cell>
          <cell r="F81">
            <v>431721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March Allocation"/>
    </sheetNames>
    <sheetDataSet>
      <sheetData sheetId="1">
        <row r="14">
          <cell r="AY14">
            <v>1225005.5836999482</v>
          </cell>
        </row>
        <row r="16">
          <cell r="AY16">
            <v>115304.88896809384</v>
          </cell>
        </row>
        <row r="21">
          <cell r="AY21">
            <v>247214.62646437497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ustments Feb 1  Oct 1 "/>
      <sheetName val="Table 5B_RSD"/>
    </sheetNames>
    <sheetDataSet>
      <sheetData sheetId="0">
        <row r="6">
          <cell r="I6">
            <v>9167</v>
          </cell>
        </row>
        <row r="7">
          <cell r="I7">
            <v>4074</v>
          </cell>
        </row>
        <row r="8">
          <cell r="I8">
            <v>18265</v>
          </cell>
        </row>
        <row r="9">
          <cell r="I9">
            <v>3921</v>
          </cell>
        </row>
        <row r="10">
          <cell r="I10">
            <v>5934</v>
          </cell>
        </row>
        <row r="11">
          <cell r="I11">
            <v>6023</v>
          </cell>
        </row>
        <row r="12">
          <cell r="I12">
            <v>2211</v>
          </cell>
        </row>
        <row r="13">
          <cell r="I13">
            <v>19366</v>
          </cell>
        </row>
        <row r="14">
          <cell r="I14">
            <v>41922</v>
          </cell>
        </row>
        <row r="15">
          <cell r="I15">
            <v>31016</v>
          </cell>
        </row>
        <row r="16">
          <cell r="I16">
            <v>1680</v>
          </cell>
        </row>
        <row r="17">
          <cell r="I17">
            <v>1499</v>
          </cell>
        </row>
        <row r="18">
          <cell r="I18">
            <v>1698</v>
          </cell>
        </row>
        <row r="19">
          <cell r="I19">
            <v>2386</v>
          </cell>
        </row>
        <row r="20">
          <cell r="I20">
            <v>3884</v>
          </cell>
        </row>
        <row r="21">
          <cell r="I21">
            <v>4647</v>
          </cell>
        </row>
        <row r="22">
          <cell r="I22">
            <v>44094</v>
          </cell>
        </row>
        <row r="23">
          <cell r="I23">
            <v>1378</v>
          </cell>
        </row>
        <row r="24">
          <cell r="I24">
            <v>2182</v>
          </cell>
        </row>
        <row r="25">
          <cell r="I25">
            <v>5850</v>
          </cell>
        </row>
        <row r="26">
          <cell r="I26">
            <v>3184</v>
          </cell>
        </row>
        <row r="27">
          <cell r="I27">
            <v>3365</v>
          </cell>
        </row>
        <row r="28">
          <cell r="I28">
            <v>13568</v>
          </cell>
        </row>
        <row r="29">
          <cell r="I29">
            <v>4050</v>
          </cell>
        </row>
        <row r="30">
          <cell r="I30">
            <v>2221</v>
          </cell>
        </row>
        <row r="31">
          <cell r="I31">
            <v>41903</v>
          </cell>
        </row>
        <row r="32">
          <cell r="I32">
            <v>5632</v>
          </cell>
        </row>
        <row r="33">
          <cell r="I33">
            <v>29086</v>
          </cell>
        </row>
        <row r="34">
          <cell r="I34">
            <v>14086</v>
          </cell>
        </row>
        <row r="35">
          <cell r="I35">
            <v>2497</v>
          </cell>
        </row>
        <row r="36">
          <cell r="I36">
            <v>6451</v>
          </cell>
        </row>
        <row r="37">
          <cell r="I37">
            <v>23608</v>
          </cell>
        </row>
        <row r="38">
          <cell r="I38">
            <v>2051</v>
          </cell>
        </row>
        <row r="39">
          <cell r="I39">
            <v>4776</v>
          </cell>
        </row>
        <row r="40">
          <cell r="I40">
            <v>6558</v>
          </cell>
        </row>
        <row r="42">
          <cell r="I42">
            <v>18606</v>
          </cell>
        </row>
        <row r="43">
          <cell r="I43">
            <v>3500</v>
          </cell>
        </row>
        <row r="44">
          <cell r="I44">
            <v>2982</v>
          </cell>
        </row>
        <row r="45">
          <cell r="I45">
            <v>22603</v>
          </cell>
        </row>
        <row r="46">
          <cell r="I46">
            <v>1429</v>
          </cell>
        </row>
        <row r="47">
          <cell r="I47">
            <v>3328</v>
          </cell>
        </row>
        <row r="48">
          <cell r="I48">
            <v>3950</v>
          </cell>
        </row>
        <row r="49">
          <cell r="I49">
            <v>3764</v>
          </cell>
        </row>
        <row r="50">
          <cell r="I50">
            <v>9353</v>
          </cell>
        </row>
        <row r="51">
          <cell r="I51">
            <v>1209</v>
          </cell>
        </row>
        <row r="52">
          <cell r="I52">
            <v>3836</v>
          </cell>
        </row>
        <row r="53">
          <cell r="I53">
            <v>6340</v>
          </cell>
        </row>
        <row r="54">
          <cell r="I54">
            <v>14795</v>
          </cell>
        </row>
        <row r="55">
          <cell r="I55">
            <v>8149</v>
          </cell>
        </row>
        <row r="56">
          <cell r="I56">
            <v>9435</v>
          </cell>
        </row>
        <row r="57">
          <cell r="I57">
            <v>34673</v>
          </cell>
        </row>
        <row r="58">
          <cell r="I58">
            <v>19022</v>
          </cell>
        </row>
        <row r="59">
          <cell r="I59">
            <v>740</v>
          </cell>
        </row>
        <row r="60">
          <cell r="I60">
            <v>18455</v>
          </cell>
        </row>
        <row r="61">
          <cell r="I61">
            <v>2869</v>
          </cell>
        </row>
        <row r="62">
          <cell r="I62">
            <v>8729</v>
          </cell>
        </row>
        <row r="63">
          <cell r="I63">
            <v>8997</v>
          </cell>
        </row>
        <row r="64">
          <cell r="I64">
            <v>5047</v>
          </cell>
        </row>
        <row r="65">
          <cell r="I65">
            <v>7170</v>
          </cell>
        </row>
        <row r="66">
          <cell r="I66">
            <v>3469</v>
          </cell>
        </row>
        <row r="67">
          <cell r="I67">
            <v>2201</v>
          </cell>
        </row>
        <row r="68">
          <cell r="I68">
            <v>2214</v>
          </cell>
        </row>
        <row r="69">
          <cell r="I69">
            <v>2570</v>
          </cell>
        </row>
        <row r="70">
          <cell r="I70">
            <v>8531</v>
          </cell>
        </row>
        <row r="71">
          <cell r="I71">
            <v>2168</v>
          </cell>
        </row>
        <row r="72">
          <cell r="I72">
            <v>4130</v>
          </cell>
        </row>
        <row r="73">
          <cell r="I73">
            <v>1917</v>
          </cell>
        </row>
        <row r="74">
          <cell r="I74">
            <v>3051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5B_RSD"/>
    </sheetNames>
    <sheetDataSet>
      <sheetData sheetId="0">
        <row r="7">
          <cell r="F7">
            <v>9505</v>
          </cell>
        </row>
        <row r="9">
          <cell r="F9">
            <v>10852</v>
          </cell>
        </row>
        <row r="11">
          <cell r="F11">
            <v>312</v>
          </cell>
        </row>
        <row r="12">
          <cell r="F12">
            <v>536</v>
          </cell>
        </row>
        <row r="13">
          <cell r="F13">
            <v>637</v>
          </cell>
        </row>
        <row r="14">
          <cell r="F14">
            <v>453</v>
          </cell>
        </row>
        <row r="16">
          <cell r="F16">
            <v>400</v>
          </cell>
        </row>
        <row r="17">
          <cell r="F17">
            <v>574</v>
          </cell>
        </row>
        <row r="18">
          <cell r="F18">
            <v>437</v>
          </cell>
        </row>
        <row r="19">
          <cell r="F19">
            <v>861</v>
          </cell>
        </row>
        <row r="20">
          <cell r="F20">
            <v>376</v>
          </cell>
        </row>
        <row r="21">
          <cell r="F21">
            <v>391</v>
          </cell>
        </row>
        <row r="22">
          <cell r="F22">
            <v>523</v>
          </cell>
        </row>
        <row r="23">
          <cell r="F23">
            <v>486</v>
          </cell>
        </row>
        <row r="24">
          <cell r="F24">
            <v>203</v>
          </cell>
        </row>
        <row r="25">
          <cell r="F25">
            <v>317</v>
          </cell>
        </row>
        <row r="26">
          <cell r="F26">
            <v>414</v>
          </cell>
        </row>
        <row r="27">
          <cell r="F27">
            <v>171</v>
          </cell>
        </row>
        <row r="28">
          <cell r="F28">
            <v>87</v>
          </cell>
        </row>
        <row r="29">
          <cell r="F29">
            <v>322</v>
          </cell>
        </row>
        <row r="30">
          <cell r="F30">
            <v>44</v>
          </cell>
        </row>
        <row r="31">
          <cell r="F31">
            <v>427</v>
          </cell>
        </row>
        <row r="32">
          <cell r="F32">
            <v>445</v>
          </cell>
        </row>
        <row r="33">
          <cell r="F33">
            <v>117</v>
          </cell>
        </row>
        <row r="34">
          <cell r="F34">
            <v>341</v>
          </cell>
        </row>
        <row r="35">
          <cell r="F35">
            <v>120</v>
          </cell>
        </row>
        <row r="36">
          <cell r="F36">
            <v>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"/>
      <sheetName val="Table 5A Lab Schools"/>
      <sheetName val="Table 5B1_RSD_Orleans"/>
      <sheetName val="Table 5B2_RSD_Other"/>
      <sheetName val="Table 6 (Local Deduct Calc.)"/>
      <sheetName val="Table 7 Local Revenue"/>
      <sheetName val="Table 8 Membership,2.1.07"/>
      <sheetName val="Table 8A Projected OPSB &amp; RSD"/>
    </sheetNames>
    <sheetDataSet>
      <sheetData sheetId="3">
        <row r="8">
          <cell r="AG8">
            <v>40934662.56614</v>
          </cell>
          <cell r="AH8">
            <v>4551</v>
          </cell>
        </row>
        <row r="9">
          <cell r="AG9">
            <v>23063339.151424</v>
          </cell>
          <cell r="AH9">
            <v>5699</v>
          </cell>
        </row>
        <row r="10">
          <cell r="AG10">
            <v>75494010.45861161</v>
          </cell>
          <cell r="AH10">
            <v>4148</v>
          </cell>
        </row>
        <row r="11">
          <cell r="AG11">
            <v>22996251.497840002</v>
          </cell>
          <cell r="AH11">
            <v>5938</v>
          </cell>
        </row>
        <row r="12">
          <cell r="AG12">
            <v>27964870.7808</v>
          </cell>
          <cell r="AH12">
            <v>4775</v>
          </cell>
        </row>
        <row r="13">
          <cell r="AG13">
            <v>30909032.393216</v>
          </cell>
          <cell r="AH13">
            <v>5131</v>
          </cell>
        </row>
        <row r="14">
          <cell r="AG14">
            <v>6957496.930819999</v>
          </cell>
          <cell r="AH14">
            <v>3186</v>
          </cell>
        </row>
        <row r="15">
          <cell r="AG15">
            <v>76883913.0939728</v>
          </cell>
          <cell r="AH15">
            <v>4012</v>
          </cell>
        </row>
        <row r="16">
          <cell r="AG16">
            <v>184404344.592128</v>
          </cell>
          <cell r="AH16">
            <v>4450</v>
          </cell>
        </row>
        <row r="17">
          <cell r="AG17">
            <v>121420294.4511208</v>
          </cell>
          <cell r="AH17">
            <v>3948</v>
          </cell>
        </row>
        <row r="18">
          <cell r="AG18">
            <v>9534151.5193</v>
          </cell>
          <cell r="AH18">
            <v>5730</v>
          </cell>
        </row>
        <row r="19">
          <cell r="AG19">
            <v>5192233.661936</v>
          </cell>
          <cell r="AH19">
            <v>3499</v>
          </cell>
        </row>
        <row r="20">
          <cell r="AG20">
            <v>9137674.863576</v>
          </cell>
          <cell r="AH20">
            <v>5426</v>
          </cell>
        </row>
        <row r="21">
          <cell r="AG21">
            <v>13745104.792512</v>
          </cell>
          <cell r="AH21">
            <v>5807</v>
          </cell>
        </row>
        <row r="22">
          <cell r="AG22">
            <v>20387258.54416</v>
          </cell>
          <cell r="AH22">
            <v>5244</v>
          </cell>
        </row>
        <row r="23">
          <cell r="AG23">
            <v>21450626.200348</v>
          </cell>
          <cell r="AH23">
            <v>4633</v>
          </cell>
        </row>
        <row r="24">
          <cell r="AG24">
            <v>112084878.08642401</v>
          </cell>
          <cell r="AH24">
            <v>2612</v>
          </cell>
        </row>
        <row r="25">
          <cell r="AG25">
            <v>7806618.24016</v>
          </cell>
          <cell r="AH25">
            <v>5761</v>
          </cell>
        </row>
        <row r="26">
          <cell r="AG26">
            <v>11197740.12576</v>
          </cell>
          <cell r="AH26">
            <v>5196</v>
          </cell>
        </row>
        <row r="27">
          <cell r="AG27">
            <v>31616163.90514</v>
          </cell>
          <cell r="AH27">
            <v>5451</v>
          </cell>
        </row>
        <row r="28">
          <cell r="AG28">
            <v>15441169.240416</v>
          </cell>
          <cell r="AH28">
            <v>4904</v>
          </cell>
        </row>
        <row r="29">
          <cell r="AG29">
            <v>19079606.21854</v>
          </cell>
          <cell r="AH29">
            <v>5613</v>
          </cell>
        </row>
        <row r="30">
          <cell r="AG30">
            <v>64034688.179143995</v>
          </cell>
          <cell r="AH30">
            <v>4765</v>
          </cell>
        </row>
        <row r="31">
          <cell r="AG31">
            <v>10024318.537386399</v>
          </cell>
          <cell r="AH31">
            <v>2484</v>
          </cell>
        </row>
        <row r="32">
          <cell r="AG32">
            <v>7863695.740693999</v>
          </cell>
          <cell r="AH32">
            <v>3606</v>
          </cell>
        </row>
        <row r="33">
          <cell r="AG33">
            <v>83625579</v>
          </cell>
          <cell r="AH33">
            <v>2018</v>
          </cell>
        </row>
        <row r="34">
          <cell r="AG34">
            <v>30521849.122323997</v>
          </cell>
          <cell r="AH34">
            <v>5507</v>
          </cell>
        </row>
        <row r="35">
          <cell r="AG35">
            <v>90843679.726864</v>
          </cell>
          <cell r="AH35">
            <v>3148</v>
          </cell>
        </row>
        <row r="36">
          <cell r="AG36">
            <v>58707745.4064116</v>
          </cell>
          <cell r="AH36">
            <v>4231</v>
          </cell>
        </row>
        <row r="37">
          <cell r="AG37">
            <v>13068184.182448</v>
          </cell>
          <cell r="AH37">
            <v>5286</v>
          </cell>
        </row>
        <row r="38">
          <cell r="AG38">
            <v>26527276.5688788</v>
          </cell>
          <cell r="AH38">
            <v>4158</v>
          </cell>
        </row>
        <row r="39">
          <cell r="AG39">
            <v>121754426.902248</v>
          </cell>
          <cell r="AH39">
            <v>5206</v>
          </cell>
        </row>
        <row r="40">
          <cell r="AG40">
            <v>11432431.050848</v>
          </cell>
          <cell r="AH40">
            <v>5699</v>
          </cell>
        </row>
        <row r="41">
          <cell r="AG41">
            <v>25062119.780024</v>
          </cell>
          <cell r="AH41">
            <v>5340</v>
          </cell>
        </row>
        <row r="42">
          <cell r="AG42">
            <v>31273368.817672</v>
          </cell>
          <cell r="AH42">
            <v>4842</v>
          </cell>
        </row>
        <row r="43">
          <cell r="AG43">
            <v>90267211.0215884</v>
          </cell>
          <cell r="AH43">
            <v>2760</v>
          </cell>
        </row>
        <row r="44">
          <cell r="AG44">
            <v>97582930.00822401</v>
          </cell>
          <cell r="AH44">
            <v>5280</v>
          </cell>
        </row>
        <row r="45">
          <cell r="AG45">
            <v>4907415</v>
          </cell>
          <cell r="AH45">
            <v>1394</v>
          </cell>
        </row>
        <row r="46">
          <cell r="AG46">
            <v>10068919.74464</v>
          </cell>
          <cell r="AH46">
            <v>3399</v>
          </cell>
        </row>
        <row r="47">
          <cell r="AG47">
            <v>100437463.16998</v>
          </cell>
          <cell r="AH47">
            <v>4493</v>
          </cell>
        </row>
        <row r="48">
          <cell r="AG48">
            <v>8991168.7121764</v>
          </cell>
          <cell r="AH48">
            <v>6445</v>
          </cell>
        </row>
        <row r="49">
          <cell r="AG49">
            <v>18396189.641704</v>
          </cell>
          <cell r="AH49">
            <v>5602</v>
          </cell>
        </row>
        <row r="50">
          <cell r="AG50">
            <v>21068384.799784</v>
          </cell>
          <cell r="AH50">
            <v>5365</v>
          </cell>
        </row>
        <row r="51">
          <cell r="AG51">
            <v>13864885.6198464</v>
          </cell>
          <cell r="AH51">
            <v>3434</v>
          </cell>
        </row>
        <row r="52">
          <cell r="AG52">
            <v>16498527</v>
          </cell>
          <cell r="AH52">
            <v>1782</v>
          </cell>
        </row>
        <row r="53">
          <cell r="AG53">
            <v>6629216.792768</v>
          </cell>
          <cell r="AH53">
            <v>5534</v>
          </cell>
        </row>
        <row r="54">
          <cell r="AG54">
            <v>13038015.6497088</v>
          </cell>
          <cell r="AH54">
            <v>3400</v>
          </cell>
        </row>
        <row r="55">
          <cell r="AG55">
            <v>28355575.172652</v>
          </cell>
          <cell r="AH55">
            <v>4535</v>
          </cell>
        </row>
        <row r="56">
          <cell r="AG56">
            <v>69695244.360816</v>
          </cell>
          <cell r="AH56">
            <v>4744</v>
          </cell>
        </row>
        <row r="57">
          <cell r="AG57">
            <v>39803224.957664</v>
          </cell>
          <cell r="AH57">
            <v>4933</v>
          </cell>
        </row>
        <row r="58">
          <cell r="AG58">
            <v>41385038.643272</v>
          </cell>
          <cell r="AH58">
            <v>4476</v>
          </cell>
        </row>
        <row r="59">
          <cell r="AG59">
            <v>152848625.08914</v>
          </cell>
          <cell r="AH59">
            <v>4420</v>
          </cell>
        </row>
        <row r="60">
          <cell r="AG60">
            <v>86380587.56672001</v>
          </cell>
          <cell r="AH60">
            <v>4590</v>
          </cell>
        </row>
        <row r="61">
          <cell r="AG61">
            <v>3977766.81</v>
          </cell>
          <cell r="AH61">
            <v>5449</v>
          </cell>
        </row>
        <row r="62">
          <cell r="AG62">
            <v>71483126.366016</v>
          </cell>
          <cell r="AH62">
            <v>3903</v>
          </cell>
        </row>
        <row r="63">
          <cell r="AG63">
            <v>13719831.469659999</v>
          </cell>
          <cell r="AH63">
            <v>4933</v>
          </cell>
        </row>
        <row r="64">
          <cell r="AG64">
            <v>33485264.529432</v>
          </cell>
          <cell r="AH64">
            <v>3880</v>
          </cell>
        </row>
        <row r="65">
          <cell r="AG65">
            <v>46528732.3656</v>
          </cell>
          <cell r="AH65">
            <v>5244</v>
          </cell>
        </row>
        <row r="66">
          <cell r="AG66">
            <v>29909175.2031</v>
          </cell>
          <cell r="AH66">
            <v>5950</v>
          </cell>
        </row>
        <row r="67">
          <cell r="AG67">
            <v>35171307.080448</v>
          </cell>
          <cell r="AH67">
            <v>5037</v>
          </cell>
        </row>
        <row r="68">
          <cell r="AG68">
            <v>10858157.634986</v>
          </cell>
          <cell r="AH68">
            <v>3168</v>
          </cell>
        </row>
        <row r="69">
          <cell r="AG69">
            <v>12079696.744528</v>
          </cell>
          <cell r="AH69">
            <v>5501</v>
          </cell>
        </row>
        <row r="70">
          <cell r="AG70">
            <v>4964104</v>
          </cell>
          <cell r="AH70">
            <v>2295</v>
          </cell>
        </row>
        <row r="71">
          <cell r="AG71">
            <v>13901231.023168</v>
          </cell>
          <cell r="AH71">
            <v>5445</v>
          </cell>
        </row>
        <row r="72">
          <cell r="AG72">
            <v>35252763.005679205</v>
          </cell>
          <cell r="AH72">
            <v>4155</v>
          </cell>
        </row>
        <row r="73">
          <cell r="AG73">
            <v>12219591.338624</v>
          </cell>
          <cell r="AH73">
            <v>5660</v>
          </cell>
        </row>
        <row r="74">
          <cell r="AG74">
            <v>19803844.1265068</v>
          </cell>
          <cell r="AH74">
            <v>4835</v>
          </cell>
        </row>
        <row r="75">
          <cell r="AG75">
            <v>10577874.5305</v>
          </cell>
          <cell r="AH75">
            <v>5633</v>
          </cell>
        </row>
        <row r="76">
          <cell r="AG76">
            <v>14624558.753416</v>
          </cell>
          <cell r="AH76">
            <v>4768</v>
          </cell>
        </row>
        <row r="77">
          <cell r="AH77">
            <v>4080</v>
          </cell>
        </row>
      </sheetData>
      <sheetData sheetId="5">
        <row r="6">
          <cell r="E6">
            <v>157</v>
          </cell>
          <cell r="I6">
            <v>27.53</v>
          </cell>
          <cell r="M6">
            <v>141.68</v>
          </cell>
          <cell r="Q6">
            <v>38.37</v>
          </cell>
          <cell r="AF6">
            <v>0</v>
          </cell>
          <cell r="AI6">
            <v>0</v>
          </cell>
        </row>
        <row r="7">
          <cell r="E7">
            <v>127</v>
          </cell>
          <cell r="I7">
            <v>27.95</v>
          </cell>
          <cell r="M7">
            <v>173.66</v>
          </cell>
          <cell r="Q7">
            <v>35.56</v>
          </cell>
          <cell r="AF7">
            <v>0</v>
          </cell>
          <cell r="AI7">
            <v>0</v>
          </cell>
        </row>
        <row r="8">
          <cell r="E8">
            <v>0</v>
          </cell>
          <cell r="I8">
            <v>27.08</v>
          </cell>
          <cell r="M8">
            <v>144.27</v>
          </cell>
          <cell r="Q8">
            <v>27.87</v>
          </cell>
          <cell r="AF8">
            <v>0</v>
          </cell>
          <cell r="AI8">
            <v>0</v>
          </cell>
        </row>
        <row r="9">
          <cell r="E9">
            <v>13</v>
          </cell>
          <cell r="I9">
            <v>36.96</v>
          </cell>
          <cell r="M9">
            <v>155.06</v>
          </cell>
          <cell r="Q9">
            <v>38.79</v>
          </cell>
          <cell r="AF9">
            <v>0</v>
          </cell>
          <cell r="AI9">
            <v>0</v>
          </cell>
        </row>
        <row r="10">
          <cell r="E10">
            <v>120</v>
          </cell>
          <cell r="I10">
            <v>24.27</v>
          </cell>
          <cell r="M10">
            <v>123.03</v>
          </cell>
          <cell r="Q10">
            <v>27.6</v>
          </cell>
          <cell r="AF10">
            <v>0</v>
          </cell>
          <cell r="AI10">
            <v>0</v>
          </cell>
        </row>
        <row r="11">
          <cell r="E11">
            <v>24</v>
          </cell>
          <cell r="I11">
            <v>31.52</v>
          </cell>
          <cell r="M11">
            <v>145.88</v>
          </cell>
          <cell r="Q11">
            <v>36.03</v>
          </cell>
          <cell r="AF11">
            <v>0</v>
          </cell>
          <cell r="AI11">
            <v>0</v>
          </cell>
        </row>
        <row r="12">
          <cell r="E12">
            <v>15</v>
          </cell>
          <cell r="I12">
            <v>36.36</v>
          </cell>
          <cell r="M12">
            <v>163.77</v>
          </cell>
          <cell r="Q12">
            <v>43.76</v>
          </cell>
          <cell r="AF12">
            <v>0</v>
          </cell>
          <cell r="AI12">
            <v>0</v>
          </cell>
        </row>
        <row r="13">
          <cell r="E13">
            <v>144</v>
          </cell>
          <cell r="I13">
            <v>25.24</v>
          </cell>
          <cell r="M13">
            <v>139.03</v>
          </cell>
          <cell r="Q13">
            <v>31.23</v>
          </cell>
          <cell r="AF13">
            <v>0</v>
          </cell>
          <cell r="AI13">
            <v>0</v>
          </cell>
        </row>
        <row r="14">
          <cell r="E14">
            <v>89</v>
          </cell>
          <cell r="I14">
            <v>35.51</v>
          </cell>
          <cell r="M14">
            <v>149.44</v>
          </cell>
          <cell r="Q14">
            <v>40.51</v>
          </cell>
          <cell r="AF14">
            <v>0</v>
          </cell>
          <cell r="AI14">
            <v>0</v>
          </cell>
        </row>
        <row r="15">
          <cell r="E15">
            <v>33</v>
          </cell>
          <cell r="I15">
            <v>26.1</v>
          </cell>
          <cell r="M15">
            <v>161.49</v>
          </cell>
          <cell r="Q15">
            <v>34.41</v>
          </cell>
          <cell r="AF15">
            <v>0</v>
          </cell>
          <cell r="AI15">
            <v>0</v>
          </cell>
        </row>
        <row r="16">
          <cell r="E16">
            <v>51</v>
          </cell>
          <cell r="I16">
            <v>34.44</v>
          </cell>
          <cell r="M16">
            <v>152.42</v>
          </cell>
          <cell r="Q16">
            <v>44.77</v>
          </cell>
          <cell r="AF16">
            <v>0</v>
          </cell>
          <cell r="AI16">
            <v>0</v>
          </cell>
        </row>
        <row r="17">
          <cell r="E17">
            <v>194</v>
          </cell>
          <cell r="I17">
            <v>33.93</v>
          </cell>
          <cell r="M17">
            <v>190.6</v>
          </cell>
          <cell r="Q17">
            <v>45.74</v>
          </cell>
          <cell r="AF17">
            <v>0</v>
          </cell>
          <cell r="AI17">
            <v>0</v>
          </cell>
        </row>
        <row r="18">
          <cell r="E18">
            <v>63</v>
          </cell>
          <cell r="I18">
            <v>41.16</v>
          </cell>
          <cell r="M18">
            <v>156.41</v>
          </cell>
          <cell r="Q18">
            <v>46.79</v>
          </cell>
          <cell r="AF18">
            <v>0</v>
          </cell>
          <cell r="AI18">
            <v>0</v>
          </cell>
        </row>
        <row r="19">
          <cell r="E19">
            <v>110</v>
          </cell>
          <cell r="I19">
            <v>31.31</v>
          </cell>
          <cell r="M19">
            <v>160.12</v>
          </cell>
          <cell r="Q19">
            <v>44.44</v>
          </cell>
          <cell r="AF19">
            <v>0</v>
          </cell>
          <cell r="AI19">
            <v>0</v>
          </cell>
        </row>
        <row r="20">
          <cell r="E20">
            <v>0</v>
          </cell>
          <cell r="I20">
            <v>32.88</v>
          </cell>
          <cell r="M20">
            <v>152.82</v>
          </cell>
          <cell r="Q20">
            <v>39.52</v>
          </cell>
          <cell r="AF20">
            <v>-22442</v>
          </cell>
          <cell r="AI20">
            <v>-22442</v>
          </cell>
        </row>
        <row r="21">
          <cell r="E21">
            <v>0</v>
          </cell>
          <cell r="I21">
            <v>33.19</v>
          </cell>
          <cell r="M21">
            <v>159.47</v>
          </cell>
          <cell r="Q21">
            <v>44.16</v>
          </cell>
          <cell r="AF21">
            <v>0</v>
          </cell>
          <cell r="AI21">
            <v>0</v>
          </cell>
        </row>
        <row r="22">
          <cell r="E22">
            <v>175</v>
          </cell>
          <cell r="I22">
            <v>27.56</v>
          </cell>
          <cell r="M22">
            <v>147.87</v>
          </cell>
          <cell r="Q22">
            <v>28.7</v>
          </cell>
          <cell r="AF22">
            <v>-1201482</v>
          </cell>
          <cell r="AI22">
            <v>-1201482</v>
          </cell>
        </row>
        <row r="23">
          <cell r="E23">
            <v>76</v>
          </cell>
          <cell r="I23">
            <v>31.46</v>
          </cell>
          <cell r="M23">
            <v>167.09</v>
          </cell>
          <cell r="Q23">
            <v>55.94</v>
          </cell>
          <cell r="AF23">
            <v>0</v>
          </cell>
          <cell r="AI23">
            <v>0</v>
          </cell>
        </row>
        <row r="24">
          <cell r="E24">
            <v>161</v>
          </cell>
          <cell r="I24">
            <v>33.19</v>
          </cell>
          <cell r="M24">
            <v>178.37</v>
          </cell>
          <cell r="Q24">
            <v>40.29</v>
          </cell>
          <cell r="AF24">
            <v>0</v>
          </cell>
          <cell r="AI24">
            <v>0</v>
          </cell>
        </row>
        <row r="25">
          <cell r="E25">
            <v>0</v>
          </cell>
          <cell r="I25">
            <v>27.75</v>
          </cell>
          <cell r="M25">
            <v>157.72</v>
          </cell>
          <cell r="Q25">
            <v>34.15</v>
          </cell>
          <cell r="AF25">
            <v>-17562</v>
          </cell>
          <cell r="AI25">
            <v>-17562</v>
          </cell>
        </row>
        <row r="26">
          <cell r="E26">
            <v>82</v>
          </cell>
          <cell r="I26">
            <v>26.27</v>
          </cell>
          <cell r="M26">
            <v>145.64</v>
          </cell>
          <cell r="Q26">
            <v>39.62</v>
          </cell>
          <cell r="AF26">
            <v>0</v>
          </cell>
          <cell r="AI26">
            <v>0</v>
          </cell>
        </row>
        <row r="27">
          <cell r="E27">
            <v>0</v>
          </cell>
          <cell r="I27">
            <v>30.43</v>
          </cell>
          <cell r="M27">
            <v>140.5</v>
          </cell>
          <cell r="Q27">
            <v>33.55</v>
          </cell>
          <cell r="AF27">
            <v>0</v>
          </cell>
          <cell r="AI27">
            <v>0</v>
          </cell>
        </row>
        <row r="28">
          <cell r="E28">
            <v>54</v>
          </cell>
          <cell r="I28">
            <v>25.63</v>
          </cell>
          <cell r="M28">
            <v>155.1</v>
          </cell>
          <cell r="Q28">
            <v>30.59</v>
          </cell>
          <cell r="AF28">
            <v>0</v>
          </cell>
          <cell r="AI28">
            <v>0</v>
          </cell>
        </row>
        <row r="29">
          <cell r="E29">
            <v>171</v>
          </cell>
          <cell r="I29">
            <v>29.41</v>
          </cell>
          <cell r="M29">
            <v>155.01</v>
          </cell>
          <cell r="Q29">
            <v>38.16</v>
          </cell>
          <cell r="AF29">
            <v>-76720</v>
          </cell>
          <cell r="AI29">
            <v>-76720</v>
          </cell>
        </row>
        <row r="30">
          <cell r="E30">
            <v>0</v>
          </cell>
          <cell r="I30">
            <v>31.18</v>
          </cell>
          <cell r="M30">
            <v>152.37</v>
          </cell>
          <cell r="Q30">
            <v>41.95</v>
          </cell>
          <cell r="AF30">
            <v>0</v>
          </cell>
          <cell r="AI30">
            <v>0</v>
          </cell>
        </row>
        <row r="31">
          <cell r="E31">
            <v>158</v>
          </cell>
          <cell r="I31">
            <v>29.46</v>
          </cell>
          <cell r="M31">
            <v>161.5</v>
          </cell>
          <cell r="Q31">
            <v>36.04</v>
          </cell>
          <cell r="AF31">
            <v>-848924</v>
          </cell>
          <cell r="AI31">
            <v>-848924</v>
          </cell>
        </row>
        <row r="32">
          <cell r="E32">
            <v>65</v>
          </cell>
          <cell r="I32">
            <v>28.06</v>
          </cell>
          <cell r="M32">
            <v>145.2</v>
          </cell>
          <cell r="Q32">
            <v>38.15</v>
          </cell>
          <cell r="AF32">
            <v>0</v>
          </cell>
          <cell r="AI32">
            <v>0</v>
          </cell>
        </row>
        <row r="33">
          <cell r="E33">
            <v>67</v>
          </cell>
          <cell r="I33">
            <v>22.1</v>
          </cell>
          <cell r="M33">
            <v>152.18</v>
          </cell>
          <cell r="Q33">
            <v>31.23</v>
          </cell>
          <cell r="AF33">
            <v>0</v>
          </cell>
          <cell r="AI33">
            <v>0</v>
          </cell>
        </row>
        <row r="34">
          <cell r="E34">
            <v>73</v>
          </cell>
          <cell r="I34">
            <v>26.79</v>
          </cell>
          <cell r="M34">
            <v>159.84</v>
          </cell>
          <cell r="Q34">
            <v>38.14</v>
          </cell>
          <cell r="AF34">
            <v>0</v>
          </cell>
          <cell r="AI34">
            <v>0</v>
          </cell>
        </row>
        <row r="35">
          <cell r="E35">
            <v>62</v>
          </cell>
          <cell r="I35">
            <v>33.97</v>
          </cell>
          <cell r="M35">
            <v>146.5</v>
          </cell>
          <cell r="Q35">
            <v>39.83</v>
          </cell>
          <cell r="AF35">
            <v>0</v>
          </cell>
          <cell r="AI35">
            <v>0</v>
          </cell>
        </row>
        <row r="36">
          <cell r="E36">
            <v>0</v>
          </cell>
          <cell r="I36">
            <v>22.26</v>
          </cell>
          <cell r="M36">
            <v>150.74</v>
          </cell>
          <cell r="Q36">
            <v>29.25</v>
          </cell>
          <cell r="AF36">
            <v>0</v>
          </cell>
          <cell r="AI36">
            <v>0</v>
          </cell>
        </row>
        <row r="37">
          <cell r="E37">
            <v>0</v>
          </cell>
          <cell r="I37">
            <v>21.96</v>
          </cell>
          <cell r="M37">
            <v>132.25</v>
          </cell>
          <cell r="Q37">
            <v>29.96</v>
          </cell>
          <cell r="AF37">
            <v>0</v>
          </cell>
          <cell r="AI37">
            <v>0</v>
          </cell>
        </row>
        <row r="38">
          <cell r="E38">
            <v>168</v>
          </cell>
          <cell r="I38">
            <v>28.88</v>
          </cell>
          <cell r="M38">
            <v>129.9</v>
          </cell>
          <cell r="Q38">
            <v>42.94</v>
          </cell>
          <cell r="AF38">
            <v>0</v>
          </cell>
          <cell r="AI38">
            <v>0</v>
          </cell>
        </row>
        <row r="39">
          <cell r="E39">
            <v>95</v>
          </cell>
          <cell r="I39">
            <v>24.15</v>
          </cell>
          <cell r="M39">
            <v>154.81</v>
          </cell>
          <cell r="Q39">
            <v>33.37</v>
          </cell>
          <cell r="AF39">
            <v>0</v>
          </cell>
          <cell r="AI39">
            <v>0</v>
          </cell>
        </row>
        <row r="40">
          <cell r="E40">
            <v>59</v>
          </cell>
          <cell r="I40">
            <v>25.46</v>
          </cell>
          <cell r="M40">
            <v>131.32</v>
          </cell>
          <cell r="Q40">
            <v>27.02</v>
          </cell>
          <cell r="AF40">
            <v>0</v>
          </cell>
          <cell r="AI40">
            <v>0</v>
          </cell>
        </row>
        <row r="41">
          <cell r="E41">
            <v>149</v>
          </cell>
          <cell r="I41">
            <v>23.82</v>
          </cell>
          <cell r="M41">
            <v>128.93</v>
          </cell>
          <cell r="Q41">
            <v>10.61</v>
          </cell>
          <cell r="AF41">
            <v>0</v>
          </cell>
          <cell r="AI41">
            <v>0</v>
          </cell>
        </row>
        <row r="42">
          <cell r="E42">
            <v>0</v>
          </cell>
          <cell r="I42">
            <v>30.4</v>
          </cell>
          <cell r="M42">
            <v>146.46</v>
          </cell>
          <cell r="Q42">
            <v>40.46</v>
          </cell>
          <cell r="AF42">
            <v>0</v>
          </cell>
          <cell r="AI42">
            <v>0</v>
          </cell>
        </row>
        <row r="43">
          <cell r="E43">
            <v>62</v>
          </cell>
          <cell r="I43">
            <v>37.76</v>
          </cell>
          <cell r="M43">
            <v>167.92</v>
          </cell>
          <cell r="Q43">
            <v>54.11</v>
          </cell>
          <cell r="AF43">
            <v>-412968</v>
          </cell>
          <cell r="AI43">
            <v>-412968</v>
          </cell>
        </row>
        <row r="44">
          <cell r="E44">
            <v>134</v>
          </cell>
          <cell r="I44">
            <v>32.31</v>
          </cell>
          <cell r="M44">
            <v>145.74</v>
          </cell>
          <cell r="Q44">
            <v>34.37</v>
          </cell>
          <cell r="AF44">
            <v>0</v>
          </cell>
          <cell r="AI44">
            <v>0</v>
          </cell>
        </row>
        <row r="45">
          <cell r="E45">
            <v>165</v>
          </cell>
          <cell r="I45">
            <v>28.73</v>
          </cell>
          <cell r="M45">
            <v>151.36</v>
          </cell>
          <cell r="Q45">
            <v>34.86</v>
          </cell>
          <cell r="AF45">
            <v>0</v>
          </cell>
          <cell r="AI45">
            <v>0</v>
          </cell>
        </row>
        <row r="46">
          <cell r="E46">
            <v>203</v>
          </cell>
          <cell r="I46">
            <v>41.2</v>
          </cell>
          <cell r="M46">
            <v>163.58</v>
          </cell>
          <cell r="Q46">
            <v>46.87</v>
          </cell>
          <cell r="AF46">
            <v>0</v>
          </cell>
          <cell r="AI46">
            <v>0</v>
          </cell>
        </row>
        <row r="47">
          <cell r="E47">
            <v>3</v>
          </cell>
          <cell r="I47">
            <v>30.17</v>
          </cell>
          <cell r="M47">
            <v>139.27</v>
          </cell>
          <cell r="Q47">
            <v>38.38</v>
          </cell>
          <cell r="AF47">
            <v>0</v>
          </cell>
          <cell r="AI47">
            <v>0</v>
          </cell>
        </row>
        <row r="48">
          <cell r="E48">
            <v>0</v>
          </cell>
          <cell r="I48">
            <v>29.37</v>
          </cell>
          <cell r="M48">
            <v>154.88</v>
          </cell>
          <cell r="Q48">
            <v>43.73</v>
          </cell>
          <cell r="AF48">
            <v>0</v>
          </cell>
          <cell r="AI48">
            <v>0</v>
          </cell>
        </row>
        <row r="49">
          <cell r="E49">
            <v>0</v>
          </cell>
          <cell r="I49">
            <v>22.97</v>
          </cell>
          <cell r="M49">
            <v>150.89</v>
          </cell>
          <cell r="Q49">
            <v>32.04</v>
          </cell>
          <cell r="AF49">
            <v>0</v>
          </cell>
          <cell r="AI49">
            <v>0</v>
          </cell>
        </row>
        <row r="50">
          <cell r="E50">
            <v>0</v>
          </cell>
          <cell r="I50">
            <v>30.05</v>
          </cell>
          <cell r="M50">
            <v>181.21</v>
          </cell>
          <cell r="Q50">
            <v>39.37</v>
          </cell>
          <cell r="AF50">
            <v>-663658</v>
          </cell>
          <cell r="AG50">
            <v>-1133318</v>
          </cell>
          <cell r="AI50">
            <v>-537734</v>
          </cell>
        </row>
        <row r="51">
          <cell r="E51">
            <v>171</v>
          </cell>
          <cell r="I51">
            <v>45.44</v>
          </cell>
          <cell r="M51">
            <v>119.2</v>
          </cell>
          <cell r="Q51">
            <v>42.74</v>
          </cell>
          <cell r="AF51">
            <v>0</v>
          </cell>
          <cell r="AI51">
            <v>0</v>
          </cell>
        </row>
        <row r="52">
          <cell r="E52">
            <v>186</v>
          </cell>
          <cell r="I52">
            <v>33.7</v>
          </cell>
          <cell r="M52">
            <v>174.95</v>
          </cell>
          <cell r="Q52">
            <v>34.92</v>
          </cell>
          <cell r="AF52">
            <v>-79045</v>
          </cell>
          <cell r="AI52">
            <v>-79045</v>
          </cell>
        </row>
        <row r="53">
          <cell r="E53">
            <v>183</v>
          </cell>
          <cell r="I53">
            <v>26.2</v>
          </cell>
          <cell r="M53">
            <v>163.53</v>
          </cell>
          <cell r="Q53">
            <v>31.36</v>
          </cell>
          <cell r="AF53">
            <v>0</v>
          </cell>
          <cell r="AI53">
            <v>0</v>
          </cell>
        </row>
        <row r="54">
          <cell r="E54">
            <v>6</v>
          </cell>
          <cell r="I54">
            <v>31.44</v>
          </cell>
          <cell r="M54">
            <v>147.77</v>
          </cell>
          <cell r="Q54">
            <v>35.09</v>
          </cell>
          <cell r="AF54">
            <v>0</v>
          </cell>
          <cell r="AI54">
            <v>0</v>
          </cell>
        </row>
        <row r="55">
          <cell r="E55">
            <v>41</v>
          </cell>
          <cell r="I55">
            <v>23.74</v>
          </cell>
          <cell r="M55">
            <v>142.36</v>
          </cell>
          <cell r="Q55">
            <v>33.52</v>
          </cell>
          <cell r="AF55">
            <v>0</v>
          </cell>
          <cell r="AI55">
            <v>0</v>
          </cell>
        </row>
        <row r="56">
          <cell r="E56">
            <v>31</v>
          </cell>
          <cell r="I56">
            <v>27.47</v>
          </cell>
          <cell r="M56">
            <v>156.98</v>
          </cell>
          <cell r="Q56">
            <v>36.32</v>
          </cell>
          <cell r="AF56">
            <v>0</v>
          </cell>
          <cell r="AI56">
            <v>0</v>
          </cell>
        </row>
        <row r="57">
          <cell r="E57">
            <v>11</v>
          </cell>
          <cell r="I57">
            <v>27.37</v>
          </cell>
          <cell r="M57">
            <v>156.53</v>
          </cell>
          <cell r="Q57">
            <v>33.81</v>
          </cell>
          <cell r="AF57">
            <v>0</v>
          </cell>
          <cell r="AI57">
            <v>0</v>
          </cell>
        </row>
        <row r="58">
          <cell r="E58">
            <v>130</v>
          </cell>
          <cell r="I58">
            <v>23.85</v>
          </cell>
          <cell r="M58">
            <v>129.93</v>
          </cell>
          <cell r="Q58">
            <v>33.02</v>
          </cell>
          <cell r="AF58">
            <v>0</v>
          </cell>
          <cell r="AI58">
            <v>0</v>
          </cell>
        </row>
        <row r="59">
          <cell r="E59">
            <v>151</v>
          </cell>
          <cell r="I59">
            <v>49.83</v>
          </cell>
          <cell r="M59">
            <v>176.12</v>
          </cell>
          <cell r="Q59">
            <v>64.89</v>
          </cell>
          <cell r="AF59">
            <v>0</v>
          </cell>
          <cell r="AI59">
            <v>0</v>
          </cell>
        </row>
        <row r="60">
          <cell r="E60">
            <v>149</v>
          </cell>
          <cell r="I60">
            <v>27.23</v>
          </cell>
          <cell r="M60">
            <v>156.34</v>
          </cell>
          <cell r="Q60">
            <v>29.81</v>
          </cell>
          <cell r="AF60">
            <v>0</v>
          </cell>
          <cell r="AI60">
            <v>0</v>
          </cell>
        </row>
        <row r="61">
          <cell r="E61">
            <v>0</v>
          </cell>
          <cell r="I61">
            <v>28.39</v>
          </cell>
          <cell r="M61">
            <v>134.71</v>
          </cell>
          <cell r="Q61">
            <v>38.32</v>
          </cell>
          <cell r="AF61">
            <v>0</v>
          </cell>
          <cell r="AI61">
            <v>0</v>
          </cell>
        </row>
        <row r="62">
          <cell r="E62">
            <v>162</v>
          </cell>
          <cell r="I62">
            <v>21.98</v>
          </cell>
          <cell r="M62">
            <v>154.36</v>
          </cell>
          <cell r="Q62">
            <v>28.63</v>
          </cell>
          <cell r="AF62">
            <v>0</v>
          </cell>
          <cell r="AI62">
            <v>0</v>
          </cell>
        </row>
        <row r="63">
          <cell r="E63">
            <v>158</v>
          </cell>
          <cell r="I63">
            <v>32.82</v>
          </cell>
          <cell r="M63">
            <v>144.31</v>
          </cell>
          <cell r="Q63">
            <v>38.55</v>
          </cell>
          <cell r="AF63">
            <v>0</v>
          </cell>
          <cell r="AI63">
            <v>0</v>
          </cell>
        </row>
        <row r="64">
          <cell r="E64">
            <v>126</v>
          </cell>
          <cell r="I64">
            <v>31.19</v>
          </cell>
          <cell r="M64">
            <v>157.48</v>
          </cell>
          <cell r="Q64">
            <v>39.66</v>
          </cell>
          <cell r="AF64">
            <v>0</v>
          </cell>
          <cell r="AI64">
            <v>0</v>
          </cell>
        </row>
        <row r="65">
          <cell r="E65">
            <v>21</v>
          </cell>
          <cell r="I65">
            <v>24.78</v>
          </cell>
          <cell r="M65">
            <v>136</v>
          </cell>
          <cell r="Q65">
            <v>30.37</v>
          </cell>
          <cell r="AF65">
            <v>0</v>
          </cell>
          <cell r="AI65">
            <v>0</v>
          </cell>
        </row>
        <row r="66">
          <cell r="E66">
            <v>166</v>
          </cell>
          <cell r="I66">
            <v>31.53</v>
          </cell>
          <cell r="M66">
            <v>155.22</v>
          </cell>
          <cell r="Q66">
            <v>32.57</v>
          </cell>
          <cell r="AF66">
            <v>0</v>
          </cell>
          <cell r="AI66">
            <v>0</v>
          </cell>
        </row>
        <row r="67">
          <cell r="E67">
            <v>8</v>
          </cell>
          <cell r="I67">
            <v>24.62</v>
          </cell>
          <cell r="M67">
            <v>151.19</v>
          </cell>
          <cell r="Q67">
            <v>30.78</v>
          </cell>
          <cell r="AF67">
            <v>0</v>
          </cell>
          <cell r="AI67">
            <v>0</v>
          </cell>
        </row>
        <row r="68">
          <cell r="E68">
            <v>0</v>
          </cell>
          <cell r="I68">
            <v>31.69</v>
          </cell>
          <cell r="M68">
            <v>175.91</v>
          </cell>
          <cell r="Q68">
            <v>41.2</v>
          </cell>
          <cell r="AF68">
            <v>-522820</v>
          </cell>
          <cell r="AI68">
            <v>-522820</v>
          </cell>
        </row>
        <row r="69">
          <cell r="E69">
            <v>47</v>
          </cell>
          <cell r="I69">
            <v>31.79</v>
          </cell>
          <cell r="M69">
            <v>147.51</v>
          </cell>
          <cell r="Q69">
            <v>42.92</v>
          </cell>
          <cell r="AF69">
            <v>0</v>
          </cell>
          <cell r="AI69">
            <v>0</v>
          </cell>
        </row>
        <row r="70">
          <cell r="E70">
            <v>163</v>
          </cell>
          <cell r="I70">
            <v>29.93</v>
          </cell>
          <cell r="M70">
            <v>148.55</v>
          </cell>
          <cell r="Q70">
            <v>42.11</v>
          </cell>
          <cell r="AF70">
            <v>0</v>
          </cell>
          <cell r="AI70">
            <v>0</v>
          </cell>
        </row>
        <row r="71">
          <cell r="E71">
            <v>0</v>
          </cell>
          <cell r="I71">
            <v>30.55</v>
          </cell>
          <cell r="M71">
            <v>159.87</v>
          </cell>
          <cell r="Q71">
            <v>48.33</v>
          </cell>
          <cell r="AF71">
            <v>0</v>
          </cell>
          <cell r="AI71">
            <v>0</v>
          </cell>
        </row>
        <row r="72">
          <cell r="E72">
            <v>175</v>
          </cell>
          <cell r="I72">
            <v>27.56</v>
          </cell>
          <cell r="M72">
            <v>135.8</v>
          </cell>
          <cell r="Q72">
            <v>19.65</v>
          </cell>
          <cell r="AF72">
            <v>0</v>
          </cell>
          <cell r="AI72">
            <v>0</v>
          </cell>
        </row>
        <row r="73">
          <cell r="E73">
            <v>175</v>
          </cell>
          <cell r="I73">
            <v>27.56</v>
          </cell>
          <cell r="M73">
            <v>155.9</v>
          </cell>
          <cell r="Q73">
            <v>30.45</v>
          </cell>
          <cell r="AF73">
            <v>0</v>
          </cell>
          <cell r="AI73">
            <v>0</v>
          </cell>
        </row>
        <row r="74">
          <cell r="E74">
            <v>175</v>
          </cell>
          <cell r="I74">
            <v>27.56</v>
          </cell>
          <cell r="M74">
            <v>147.87</v>
          </cell>
          <cell r="Q74">
            <v>28.7</v>
          </cell>
          <cell r="AF74">
            <v>0</v>
          </cell>
          <cell r="AI74">
            <v>0</v>
          </cell>
        </row>
        <row r="75">
          <cell r="E75">
            <v>92</v>
          </cell>
          <cell r="I75">
            <v>27.81</v>
          </cell>
          <cell r="M75">
            <v>150.17</v>
          </cell>
          <cell r="Q75">
            <v>33.89</v>
          </cell>
        </row>
      </sheetData>
      <sheetData sheetId="11">
        <row r="8">
          <cell r="E8">
            <v>193761600</v>
          </cell>
          <cell r="AK8">
            <v>700680133</v>
          </cell>
        </row>
        <row r="9">
          <cell r="E9">
            <v>71265140</v>
          </cell>
          <cell r="AK9">
            <v>285787933</v>
          </cell>
        </row>
        <row r="10">
          <cell r="E10">
            <v>615023140</v>
          </cell>
          <cell r="AK10">
            <v>1967099850</v>
          </cell>
        </row>
        <row r="11">
          <cell r="E11">
            <v>101823579</v>
          </cell>
          <cell r="AK11">
            <v>216870867</v>
          </cell>
        </row>
        <row r="12">
          <cell r="E12">
            <v>82240799</v>
          </cell>
          <cell r="AK12">
            <v>384025867</v>
          </cell>
        </row>
        <row r="13">
          <cell r="E13">
            <v>155094988</v>
          </cell>
          <cell r="AK13">
            <v>412619150</v>
          </cell>
        </row>
        <row r="14">
          <cell r="E14">
            <v>182905400</v>
          </cell>
          <cell r="AK14">
            <v>299888050</v>
          </cell>
        </row>
        <row r="15">
          <cell r="E15">
            <v>549508273</v>
          </cell>
          <cell r="AK15">
            <v>2231076914</v>
          </cell>
        </row>
        <row r="16">
          <cell r="E16">
            <v>1148315340</v>
          </cell>
          <cell r="AK16">
            <v>4374637267</v>
          </cell>
        </row>
        <row r="17">
          <cell r="E17">
            <v>1062414142</v>
          </cell>
          <cell r="AK17">
            <v>4431431550</v>
          </cell>
        </row>
        <row r="18">
          <cell r="E18">
            <v>36677330</v>
          </cell>
          <cell r="AK18">
            <v>104560950</v>
          </cell>
        </row>
        <row r="19">
          <cell r="E19">
            <v>145205926</v>
          </cell>
          <cell r="AK19">
            <v>31944853</v>
          </cell>
        </row>
        <row r="20">
          <cell r="E20">
            <v>29483535</v>
          </cell>
          <cell r="AK20">
            <v>91712900</v>
          </cell>
        </row>
        <row r="21">
          <cell r="E21">
            <v>79250657</v>
          </cell>
          <cell r="AK21">
            <v>141177300</v>
          </cell>
        </row>
        <row r="22">
          <cell r="E22">
            <v>106070757</v>
          </cell>
          <cell r="AK22">
            <v>218903100</v>
          </cell>
        </row>
        <row r="23">
          <cell r="E23">
            <v>189516652</v>
          </cell>
          <cell r="AK23">
            <v>547052400</v>
          </cell>
        </row>
        <row r="24">
          <cell r="E24">
            <v>2377641043</v>
          </cell>
          <cell r="AK24">
            <v>7718343300</v>
          </cell>
        </row>
        <row r="25">
          <cell r="E25">
            <v>28792558</v>
          </cell>
          <cell r="AK25">
            <v>45392767</v>
          </cell>
        </row>
        <row r="26">
          <cell r="E26">
            <v>78663578</v>
          </cell>
          <cell r="AK26">
            <v>136755650</v>
          </cell>
        </row>
        <row r="27">
          <cell r="E27">
            <v>122611430</v>
          </cell>
          <cell r="AK27">
            <v>404184250</v>
          </cell>
        </row>
        <row r="28">
          <cell r="E28">
            <v>52187875</v>
          </cell>
          <cell r="AK28">
            <v>216400067</v>
          </cell>
        </row>
        <row r="29">
          <cell r="E29">
            <v>33275873</v>
          </cell>
          <cell r="AK29">
            <v>97275150</v>
          </cell>
        </row>
        <row r="30">
          <cell r="E30">
            <v>319843587</v>
          </cell>
          <cell r="AK30">
            <v>1330827250</v>
          </cell>
        </row>
        <row r="31">
          <cell r="E31">
            <v>336819731</v>
          </cell>
          <cell r="AK31">
            <v>1008244750</v>
          </cell>
        </row>
        <row r="32">
          <cell r="E32">
            <v>126775290</v>
          </cell>
          <cell r="AK32">
            <v>314026900</v>
          </cell>
        </row>
        <row r="33">
          <cell r="E33">
            <v>2329255258</v>
          </cell>
          <cell r="AK33">
            <v>9787881400</v>
          </cell>
        </row>
        <row r="34">
          <cell r="E34">
            <v>125354074</v>
          </cell>
          <cell r="AK34">
            <v>385400200</v>
          </cell>
        </row>
        <row r="35">
          <cell r="E35">
            <v>1075087747</v>
          </cell>
          <cell r="AK35">
            <v>4800691050</v>
          </cell>
        </row>
        <row r="36">
          <cell r="E36">
            <v>460707588</v>
          </cell>
          <cell r="AK36">
            <v>1409938350</v>
          </cell>
        </row>
        <row r="37">
          <cell r="E37">
            <v>42018130</v>
          </cell>
          <cell r="AK37">
            <v>187956800</v>
          </cell>
        </row>
        <row r="38">
          <cell r="E38">
            <v>222823263</v>
          </cell>
          <cell r="AK38">
            <v>787945100</v>
          </cell>
        </row>
        <row r="39">
          <cell r="E39">
            <v>244583490</v>
          </cell>
          <cell r="AK39">
            <v>1246007800</v>
          </cell>
        </row>
        <row r="40">
          <cell r="E40">
            <v>45221620</v>
          </cell>
          <cell r="AK40">
            <v>90640760</v>
          </cell>
        </row>
        <row r="41">
          <cell r="E41">
            <v>134746526</v>
          </cell>
          <cell r="AK41">
            <v>301409300</v>
          </cell>
        </row>
        <row r="42">
          <cell r="E42">
            <v>162491010</v>
          </cell>
          <cell r="AK42">
            <v>621990700</v>
          </cell>
        </row>
        <row r="43">
          <cell r="E43">
            <v>1846137883</v>
          </cell>
          <cell r="AK43">
            <v>5987834667</v>
          </cell>
        </row>
        <row r="44">
          <cell r="E44">
            <v>399182494</v>
          </cell>
          <cell r="AK44">
            <v>1168574233</v>
          </cell>
        </row>
        <row r="45">
          <cell r="E45">
            <v>558779545</v>
          </cell>
          <cell r="AK45">
            <v>830566050</v>
          </cell>
        </row>
        <row r="46">
          <cell r="E46">
            <v>264951101</v>
          </cell>
          <cell r="AK46">
            <v>349377950</v>
          </cell>
        </row>
        <row r="47">
          <cell r="E47">
            <v>510406854</v>
          </cell>
          <cell r="AK47">
            <v>2320854067</v>
          </cell>
        </row>
        <row r="48">
          <cell r="E48">
            <v>28909260</v>
          </cell>
          <cell r="AK48">
            <v>93021100</v>
          </cell>
        </row>
        <row r="49">
          <cell r="E49">
            <v>65046287</v>
          </cell>
          <cell r="AK49">
            <v>249656250</v>
          </cell>
        </row>
        <row r="50">
          <cell r="E50">
            <v>83488778</v>
          </cell>
          <cell r="AK50">
            <v>253875650</v>
          </cell>
        </row>
        <row r="51">
          <cell r="E51">
            <v>221377946</v>
          </cell>
          <cell r="AK51">
            <v>574807850</v>
          </cell>
        </row>
        <row r="52">
          <cell r="E52">
            <v>850550817</v>
          </cell>
          <cell r="AK52">
            <v>1440948700</v>
          </cell>
        </row>
        <row r="53">
          <cell r="E53">
            <v>37977430</v>
          </cell>
          <cell r="AK53">
            <v>68406750</v>
          </cell>
        </row>
        <row r="54">
          <cell r="E54">
            <v>300634213</v>
          </cell>
          <cell r="AK54">
            <v>485924040</v>
          </cell>
        </row>
        <row r="55">
          <cell r="E55">
            <v>244781537</v>
          </cell>
          <cell r="AK55">
            <v>813092400</v>
          </cell>
        </row>
        <row r="56">
          <cell r="E56">
            <v>396614150</v>
          </cell>
          <cell r="AK56">
            <v>1095122400</v>
          </cell>
        </row>
        <row r="57">
          <cell r="E57">
            <v>155978032</v>
          </cell>
          <cell r="AK57">
            <v>596370400</v>
          </cell>
        </row>
        <row r="58">
          <cell r="E58">
            <v>327125026</v>
          </cell>
          <cell r="AK58">
            <v>1010433600</v>
          </cell>
        </row>
        <row r="59">
          <cell r="E59">
            <v>972743530</v>
          </cell>
          <cell r="AK59">
            <v>4483568550</v>
          </cell>
        </row>
        <row r="60">
          <cell r="E60">
            <v>342774659</v>
          </cell>
          <cell r="AK60">
            <v>1658400750</v>
          </cell>
        </row>
        <row r="61">
          <cell r="E61">
            <v>38963956</v>
          </cell>
          <cell r="AK61">
            <v>43956933</v>
          </cell>
        </row>
        <row r="62">
          <cell r="E62">
            <v>532633035</v>
          </cell>
          <cell r="AK62">
            <v>2427415481</v>
          </cell>
        </row>
        <row r="63">
          <cell r="E63">
            <v>88924301</v>
          </cell>
          <cell r="AK63">
            <v>213936400</v>
          </cell>
        </row>
        <row r="64">
          <cell r="E64">
            <v>232851550</v>
          </cell>
          <cell r="AK64">
            <v>822115400</v>
          </cell>
        </row>
        <row r="65">
          <cell r="E65">
            <v>106578077</v>
          </cell>
          <cell r="AK65">
            <v>488374000</v>
          </cell>
        </row>
        <row r="66">
          <cell r="E66">
            <v>63134065</v>
          </cell>
          <cell r="AK66">
            <v>232986600</v>
          </cell>
        </row>
        <row r="67">
          <cell r="E67">
            <v>150801635</v>
          </cell>
          <cell r="AK67">
            <v>641302864</v>
          </cell>
        </row>
        <row r="68">
          <cell r="E68">
            <v>233346270</v>
          </cell>
          <cell r="AK68">
            <v>507786400</v>
          </cell>
        </row>
        <row r="69">
          <cell r="E69">
            <v>40859452</v>
          </cell>
          <cell r="AK69">
            <v>108890100</v>
          </cell>
        </row>
        <row r="70">
          <cell r="E70">
            <v>280446321</v>
          </cell>
          <cell r="AK70">
            <v>200513450</v>
          </cell>
        </row>
        <row r="71">
          <cell r="E71">
            <v>52712742</v>
          </cell>
          <cell r="AK71">
            <v>183643250</v>
          </cell>
        </row>
        <row r="72">
          <cell r="E72">
            <v>318120696</v>
          </cell>
          <cell r="AK72">
            <v>1204405550</v>
          </cell>
        </row>
        <row r="73">
          <cell r="E73">
            <v>61621390</v>
          </cell>
          <cell r="AK73">
            <v>261472400</v>
          </cell>
        </row>
        <row r="74">
          <cell r="E74">
            <v>129032780</v>
          </cell>
          <cell r="AK74">
            <v>376759250</v>
          </cell>
        </row>
        <row r="75">
          <cell r="E75">
            <v>30179140</v>
          </cell>
          <cell r="AK75">
            <v>164323100</v>
          </cell>
        </row>
        <row r="76">
          <cell r="E76">
            <v>75457027</v>
          </cell>
          <cell r="AK76">
            <v>257305250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  <sheetDataSet>
      <sheetData sheetId="0">
        <row r="9">
          <cell r="C9">
            <v>283777379</v>
          </cell>
          <cell r="D9">
            <v>71958274</v>
          </cell>
        </row>
        <row r="10">
          <cell r="C10">
            <v>98451500</v>
          </cell>
          <cell r="D10">
            <v>24239527</v>
          </cell>
        </row>
        <row r="11">
          <cell r="C11">
            <v>856413240</v>
          </cell>
          <cell r="D11">
            <v>169306150</v>
          </cell>
        </row>
        <row r="12">
          <cell r="C12">
            <v>145557210</v>
          </cell>
          <cell r="D12">
            <v>33084201</v>
          </cell>
        </row>
        <row r="13">
          <cell r="C13">
            <v>139928690</v>
          </cell>
          <cell r="D13">
            <v>52428911</v>
          </cell>
        </row>
        <row r="14">
          <cell r="C14">
            <v>207569449</v>
          </cell>
          <cell r="D14">
            <v>46489714</v>
          </cell>
        </row>
        <row r="15">
          <cell r="C15">
            <v>259810920</v>
          </cell>
          <cell r="D15">
            <v>14403911</v>
          </cell>
        </row>
        <row r="16">
          <cell r="C16">
            <v>747619410</v>
          </cell>
          <cell r="D16">
            <v>165120946</v>
          </cell>
        </row>
        <row r="17">
          <cell r="C17">
            <v>1513460630</v>
          </cell>
          <cell r="D17">
            <v>330772720</v>
          </cell>
        </row>
        <row r="18">
          <cell r="C18">
            <v>1435976560</v>
          </cell>
          <cell r="D18">
            <v>253266522</v>
          </cell>
        </row>
        <row r="19">
          <cell r="C19">
            <v>48902140</v>
          </cell>
          <cell r="D19">
            <v>12492830</v>
          </cell>
        </row>
        <row r="20">
          <cell r="C20">
            <v>189218897</v>
          </cell>
          <cell r="D20">
            <v>7973836</v>
          </cell>
        </row>
        <row r="21">
          <cell r="C21">
            <v>44396640</v>
          </cell>
          <cell r="D21">
            <v>13651175</v>
          </cell>
        </row>
        <row r="22">
          <cell r="C22">
            <v>105802236</v>
          </cell>
          <cell r="D22">
            <v>19822609</v>
          </cell>
        </row>
        <row r="23">
          <cell r="C23">
            <v>136015650</v>
          </cell>
          <cell r="D23">
            <v>26122041</v>
          </cell>
        </row>
        <row r="24">
          <cell r="C24">
            <v>273434195</v>
          </cell>
          <cell r="D24">
            <v>36296280</v>
          </cell>
        </row>
        <row r="25">
          <cell r="C25">
            <v>3092308950</v>
          </cell>
          <cell r="D25">
            <v>522447050</v>
          </cell>
        </row>
        <row r="26">
          <cell r="C26">
            <v>36056864</v>
          </cell>
          <cell r="D26">
            <v>5324525</v>
          </cell>
        </row>
        <row r="27">
          <cell r="C27">
            <v>122362750</v>
          </cell>
          <cell r="D27">
            <v>30761822</v>
          </cell>
        </row>
        <row r="28">
          <cell r="C28">
            <v>175128950</v>
          </cell>
          <cell r="D28">
            <v>45573940</v>
          </cell>
        </row>
        <row r="29">
          <cell r="C29">
            <v>80503643</v>
          </cell>
          <cell r="D29">
            <v>26584292</v>
          </cell>
        </row>
        <row r="30">
          <cell r="C30">
            <v>59508948</v>
          </cell>
          <cell r="D30">
            <v>25324056</v>
          </cell>
        </row>
        <row r="31">
          <cell r="C31">
            <v>452587549</v>
          </cell>
          <cell r="D31">
            <v>98098992</v>
          </cell>
        </row>
        <row r="32">
          <cell r="C32">
            <v>401222574</v>
          </cell>
          <cell r="D32">
            <v>41435933</v>
          </cell>
        </row>
        <row r="33">
          <cell r="C33">
            <v>169625030</v>
          </cell>
          <cell r="D33">
            <v>18269850</v>
          </cell>
        </row>
        <row r="34">
          <cell r="C34">
            <v>3340030336</v>
          </cell>
          <cell r="D34">
            <v>739284610</v>
          </cell>
        </row>
        <row r="35">
          <cell r="C35">
            <v>173973580</v>
          </cell>
          <cell r="D35">
            <v>42063770</v>
          </cell>
        </row>
        <row r="36">
          <cell r="C36">
            <v>1470636507</v>
          </cell>
          <cell r="D36">
            <v>311232977</v>
          </cell>
        </row>
        <row r="37">
          <cell r="C37">
            <v>658430990</v>
          </cell>
          <cell r="D37">
            <v>149912982</v>
          </cell>
        </row>
        <row r="38">
          <cell r="C38">
            <v>63840593</v>
          </cell>
          <cell r="D38">
            <v>18136905</v>
          </cell>
        </row>
        <row r="39">
          <cell r="C39">
            <v>304750986</v>
          </cell>
          <cell r="D39">
            <v>52524903</v>
          </cell>
        </row>
        <row r="40">
          <cell r="C40">
            <v>463254380</v>
          </cell>
          <cell r="D40">
            <v>189618010</v>
          </cell>
        </row>
        <row r="41">
          <cell r="C41">
            <v>56062528</v>
          </cell>
          <cell r="D41">
            <v>10211062</v>
          </cell>
        </row>
        <row r="42">
          <cell r="C42">
            <v>171673850</v>
          </cell>
          <cell r="D42">
            <v>34408686</v>
          </cell>
        </row>
        <row r="43">
          <cell r="C43">
            <v>225776290</v>
          </cell>
          <cell r="D43">
            <v>46110247</v>
          </cell>
        </row>
        <row r="44">
          <cell r="C44">
            <v>2836995254</v>
          </cell>
          <cell r="D44">
            <v>292878255</v>
          </cell>
        </row>
        <row r="45">
          <cell r="C45">
            <v>577108129</v>
          </cell>
          <cell r="D45">
            <v>145908613</v>
          </cell>
        </row>
        <row r="46">
          <cell r="C46">
            <v>650730980</v>
          </cell>
          <cell r="D46">
            <v>24504045</v>
          </cell>
        </row>
        <row r="47">
          <cell r="C47">
            <v>311665449</v>
          </cell>
          <cell r="D47">
            <v>36491875</v>
          </cell>
        </row>
        <row r="48">
          <cell r="C48">
            <v>714371754</v>
          </cell>
          <cell r="D48">
            <v>165283885</v>
          </cell>
        </row>
        <row r="49">
          <cell r="C49">
            <v>41826500</v>
          </cell>
          <cell r="D49">
            <v>9872080</v>
          </cell>
        </row>
        <row r="50">
          <cell r="C50">
            <v>95358810</v>
          </cell>
          <cell r="D50">
            <v>25486913</v>
          </cell>
        </row>
        <row r="51">
          <cell r="C51">
            <v>114122642</v>
          </cell>
          <cell r="D51">
            <v>29709527</v>
          </cell>
        </row>
        <row r="52">
          <cell r="C52">
            <v>266382520</v>
          </cell>
          <cell r="D52">
            <v>36117327</v>
          </cell>
        </row>
        <row r="53">
          <cell r="C53">
            <v>1017863492</v>
          </cell>
          <cell r="D53">
            <v>94652223</v>
          </cell>
        </row>
        <row r="54">
          <cell r="C54">
            <v>58339520</v>
          </cell>
          <cell r="D54">
            <v>16281120</v>
          </cell>
        </row>
        <row r="55">
          <cell r="C55">
            <v>348336210</v>
          </cell>
          <cell r="D55">
            <v>34736383</v>
          </cell>
        </row>
        <row r="56">
          <cell r="C56">
            <v>355898302</v>
          </cell>
          <cell r="D56">
            <v>80999207</v>
          </cell>
        </row>
        <row r="57">
          <cell r="C57">
            <v>556912400</v>
          </cell>
          <cell r="D57">
            <v>109230276</v>
          </cell>
        </row>
        <row r="58">
          <cell r="C58">
            <v>241153060</v>
          </cell>
          <cell r="D58">
            <v>73880696</v>
          </cell>
        </row>
        <row r="59">
          <cell r="C59">
            <v>441167246</v>
          </cell>
          <cell r="D59">
            <v>66791151</v>
          </cell>
        </row>
        <row r="60">
          <cell r="C60">
            <v>1529956991</v>
          </cell>
          <cell r="D60">
            <v>437214926</v>
          </cell>
        </row>
        <row r="61">
          <cell r="C61">
            <v>537209968</v>
          </cell>
          <cell r="D61">
            <v>161992126</v>
          </cell>
        </row>
        <row r="62">
          <cell r="C62">
            <v>46381830</v>
          </cell>
          <cell r="D62">
            <v>6014366</v>
          </cell>
        </row>
        <row r="63">
          <cell r="C63">
            <v>761386595</v>
          </cell>
          <cell r="D63">
            <v>164226815</v>
          </cell>
        </row>
        <row r="64">
          <cell r="C64">
            <v>124075340</v>
          </cell>
          <cell r="D64">
            <v>32111338</v>
          </cell>
        </row>
        <row r="65">
          <cell r="C65">
            <v>331239570</v>
          </cell>
          <cell r="D65">
            <v>81455300</v>
          </cell>
        </row>
        <row r="66">
          <cell r="C66">
            <v>144997760</v>
          </cell>
          <cell r="D66">
            <v>40805178</v>
          </cell>
        </row>
        <row r="67">
          <cell r="C67">
            <v>106274730</v>
          </cell>
          <cell r="D67">
            <v>36835600</v>
          </cell>
        </row>
        <row r="68">
          <cell r="C68">
            <v>210426800</v>
          </cell>
          <cell r="D68">
            <v>49643205</v>
          </cell>
        </row>
        <row r="69">
          <cell r="C69">
            <v>293819150</v>
          </cell>
          <cell r="D69">
            <v>34844993</v>
          </cell>
        </row>
        <row r="70">
          <cell r="C70">
            <v>61049090</v>
          </cell>
          <cell r="D70">
            <v>15003202</v>
          </cell>
        </row>
        <row r="71">
          <cell r="C71">
            <v>288318647</v>
          </cell>
          <cell r="D71">
            <v>15163062</v>
          </cell>
        </row>
        <row r="72">
          <cell r="C72">
            <v>71129696</v>
          </cell>
          <cell r="D72">
            <v>15768825</v>
          </cell>
        </row>
        <row r="73">
          <cell r="C73">
            <v>372317557</v>
          </cell>
          <cell r="D73">
            <v>45624863</v>
          </cell>
        </row>
        <row r="74">
          <cell r="C74">
            <v>87774850</v>
          </cell>
          <cell r="D74">
            <v>19926410</v>
          </cell>
        </row>
        <row r="75">
          <cell r="C75">
            <v>177161010</v>
          </cell>
          <cell r="D75">
            <v>32119450</v>
          </cell>
        </row>
        <row r="76">
          <cell r="C76">
            <v>56408560</v>
          </cell>
          <cell r="D76">
            <v>19812500</v>
          </cell>
        </row>
        <row r="77">
          <cell r="C77">
            <v>140682410</v>
          </cell>
          <cell r="D77">
            <v>58840450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 Membership"/>
    </sheetNames>
    <sheetDataSet>
      <sheetData sheetId="0">
        <row r="8">
          <cell r="E8">
            <v>9069</v>
          </cell>
        </row>
        <row r="9">
          <cell r="E9">
            <v>3991</v>
          </cell>
        </row>
        <row r="10">
          <cell r="E10">
            <v>18749</v>
          </cell>
        </row>
        <row r="11">
          <cell r="E11">
            <v>3743</v>
          </cell>
        </row>
        <row r="12">
          <cell r="E12">
            <v>6003</v>
          </cell>
        </row>
        <row r="13">
          <cell r="E13">
            <v>5944</v>
          </cell>
        </row>
        <row r="14">
          <cell r="E14">
            <v>2126</v>
          </cell>
        </row>
        <row r="15">
          <cell r="E15">
            <v>19511</v>
          </cell>
        </row>
        <row r="16">
          <cell r="E16">
            <v>41653</v>
          </cell>
        </row>
        <row r="17">
          <cell r="E17">
            <v>31163</v>
          </cell>
        </row>
        <row r="18">
          <cell r="E18">
            <v>1668</v>
          </cell>
        </row>
        <row r="19">
          <cell r="E19">
            <v>1288</v>
          </cell>
        </row>
        <row r="20">
          <cell r="E20">
            <v>1626</v>
          </cell>
        </row>
        <row r="21">
          <cell r="E21">
            <v>2258</v>
          </cell>
        </row>
        <row r="22">
          <cell r="E22">
            <v>3747</v>
          </cell>
        </row>
        <row r="23">
          <cell r="E23">
            <v>4615</v>
          </cell>
        </row>
        <row r="24">
          <cell r="E24">
            <v>42221</v>
          </cell>
        </row>
        <row r="25">
          <cell r="E25">
            <v>1343</v>
          </cell>
        </row>
        <row r="26">
          <cell r="E26">
            <v>2118</v>
          </cell>
        </row>
        <row r="27">
          <cell r="E27">
            <v>5756</v>
          </cell>
        </row>
        <row r="28">
          <cell r="E28">
            <v>3063</v>
          </cell>
        </row>
        <row r="29">
          <cell r="E29">
            <v>3415</v>
          </cell>
        </row>
        <row r="30">
          <cell r="E30">
            <v>13452</v>
          </cell>
        </row>
        <row r="31">
          <cell r="E31">
            <v>4126</v>
          </cell>
        </row>
        <row r="32">
          <cell r="E32">
            <v>2193</v>
          </cell>
        </row>
        <row r="33">
          <cell r="E33">
            <v>41817</v>
          </cell>
        </row>
        <row r="34">
          <cell r="E34">
            <v>5587</v>
          </cell>
        </row>
        <row r="35">
          <cell r="E35">
            <v>28959</v>
          </cell>
        </row>
        <row r="36">
          <cell r="E36">
            <v>13966</v>
          </cell>
        </row>
        <row r="37">
          <cell r="E37">
            <v>2443</v>
          </cell>
        </row>
        <row r="38">
          <cell r="E38">
            <v>6582</v>
          </cell>
        </row>
        <row r="39">
          <cell r="E39">
            <v>23728</v>
          </cell>
        </row>
        <row r="40">
          <cell r="E40">
            <v>2011</v>
          </cell>
        </row>
        <row r="41">
          <cell r="E41">
            <v>4669</v>
          </cell>
        </row>
        <row r="42">
          <cell r="E42">
            <v>6390</v>
          </cell>
        </row>
        <row r="44">
          <cell r="E44">
            <v>18611</v>
          </cell>
        </row>
        <row r="45">
          <cell r="E45">
            <v>3503</v>
          </cell>
        </row>
        <row r="46">
          <cell r="E46">
            <v>2478</v>
          </cell>
        </row>
        <row r="47">
          <cell r="E47">
            <v>22705</v>
          </cell>
        </row>
        <row r="48">
          <cell r="E48">
            <v>1416</v>
          </cell>
        </row>
        <row r="49">
          <cell r="E49">
            <v>3309</v>
          </cell>
        </row>
        <row r="50">
          <cell r="E50">
            <v>3917</v>
          </cell>
        </row>
        <row r="51">
          <cell r="E51">
            <v>4255</v>
          </cell>
        </row>
        <row r="52">
          <cell r="E52">
            <v>9302</v>
          </cell>
        </row>
        <row r="53">
          <cell r="E53">
            <v>1153</v>
          </cell>
        </row>
        <row r="54">
          <cell r="E54">
            <v>3792</v>
          </cell>
        </row>
        <row r="55">
          <cell r="E55">
            <v>6167</v>
          </cell>
        </row>
        <row r="56">
          <cell r="E56">
            <v>14618</v>
          </cell>
        </row>
        <row r="57">
          <cell r="E57">
            <v>8038</v>
          </cell>
        </row>
        <row r="58">
          <cell r="E58">
            <v>9226</v>
          </cell>
        </row>
        <row r="59">
          <cell r="E59">
            <v>34969</v>
          </cell>
        </row>
        <row r="60">
          <cell r="E60">
            <v>18766</v>
          </cell>
        </row>
        <row r="61">
          <cell r="E61">
            <v>722</v>
          </cell>
        </row>
        <row r="62">
          <cell r="E62">
            <v>18093</v>
          </cell>
        </row>
        <row r="63">
          <cell r="E63">
            <v>2777</v>
          </cell>
        </row>
        <row r="64">
          <cell r="E64">
            <v>8639</v>
          </cell>
        </row>
        <row r="65">
          <cell r="E65">
            <v>9064</v>
          </cell>
        </row>
        <row r="66">
          <cell r="E66">
            <v>5051</v>
          </cell>
        </row>
        <row r="67">
          <cell r="E67">
            <v>6995</v>
          </cell>
        </row>
        <row r="68">
          <cell r="E68">
            <v>3471</v>
          </cell>
        </row>
        <row r="69">
          <cell r="E69">
            <v>2152</v>
          </cell>
        </row>
        <row r="70">
          <cell r="E70">
            <v>2123</v>
          </cell>
        </row>
        <row r="71">
          <cell r="E71">
            <v>2554</v>
          </cell>
        </row>
        <row r="72">
          <cell r="E72">
            <v>8411</v>
          </cell>
        </row>
        <row r="73">
          <cell r="E73">
            <v>2226</v>
          </cell>
        </row>
        <row r="74">
          <cell r="E74">
            <v>4463</v>
          </cell>
        </row>
        <row r="75">
          <cell r="E75">
            <v>1782</v>
          </cell>
        </row>
        <row r="76">
          <cell r="E76">
            <v>3537</v>
          </cell>
        </row>
        <row r="85">
          <cell r="E85">
            <v>1345</v>
          </cell>
        </row>
        <row r="86">
          <cell r="E86">
            <v>353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B1_RSD_Orleans_corrected order"/>
      <sheetName val="Table 5B1_RSD_Orleans"/>
    </sheetNames>
    <sheetDataSet>
      <sheetData sheetId="0">
        <row r="8">
          <cell r="E8">
            <v>9932</v>
          </cell>
        </row>
        <row r="10">
          <cell r="E10">
            <v>11959</v>
          </cell>
        </row>
        <row r="13">
          <cell r="E13">
            <v>318</v>
          </cell>
        </row>
        <row r="14">
          <cell r="E14">
            <v>601</v>
          </cell>
        </row>
        <row r="15">
          <cell r="E15">
            <v>709</v>
          </cell>
        </row>
        <row r="16">
          <cell r="E16">
            <v>567</v>
          </cell>
        </row>
        <row r="18">
          <cell r="E18">
            <v>351</v>
          </cell>
        </row>
        <row r="19">
          <cell r="E19">
            <v>691</v>
          </cell>
        </row>
        <row r="20">
          <cell r="E20">
            <v>365</v>
          </cell>
        </row>
        <row r="21">
          <cell r="E21">
            <v>853</v>
          </cell>
        </row>
        <row r="22">
          <cell r="E22">
            <v>474</v>
          </cell>
        </row>
        <row r="23">
          <cell r="E23">
            <v>393</v>
          </cell>
        </row>
        <row r="24">
          <cell r="E24">
            <v>555</v>
          </cell>
        </row>
        <row r="25">
          <cell r="E25">
            <v>588</v>
          </cell>
        </row>
        <row r="26">
          <cell r="E26">
            <v>266</v>
          </cell>
        </row>
        <row r="27">
          <cell r="E27">
            <v>311</v>
          </cell>
        </row>
        <row r="28">
          <cell r="E28">
            <v>430</v>
          </cell>
        </row>
        <row r="29">
          <cell r="E29">
            <v>254</v>
          </cell>
        </row>
        <row r="30">
          <cell r="E30">
            <v>176</v>
          </cell>
        </row>
        <row r="31">
          <cell r="E31">
            <v>402</v>
          </cell>
        </row>
        <row r="32">
          <cell r="E32">
            <v>151</v>
          </cell>
        </row>
        <row r="33">
          <cell r="E33">
            <v>464</v>
          </cell>
        </row>
        <row r="34">
          <cell r="E34">
            <v>351</v>
          </cell>
        </row>
        <row r="35">
          <cell r="E35">
            <v>447</v>
          </cell>
        </row>
        <row r="36">
          <cell r="E36">
            <v>392</v>
          </cell>
        </row>
        <row r="37">
          <cell r="E37">
            <v>172</v>
          </cell>
        </row>
        <row r="38">
          <cell r="E38">
            <v>335</v>
          </cell>
        </row>
        <row r="39">
          <cell r="E39">
            <v>83</v>
          </cell>
        </row>
        <row r="40">
          <cell r="E40">
            <v>54</v>
          </cell>
        </row>
        <row r="41">
          <cell r="E41">
            <v>116</v>
          </cell>
        </row>
        <row r="42">
          <cell r="E42">
            <v>218</v>
          </cell>
        </row>
        <row r="43">
          <cell r="E43">
            <v>95</v>
          </cell>
        </row>
        <row r="44">
          <cell r="E44">
            <v>196</v>
          </cell>
        </row>
        <row r="45">
          <cell r="E45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showGridLines="0"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I3" sqref="I3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58.7109375" style="0" customWidth="1"/>
    <col min="4" max="5" width="20.00390625" style="0" bestFit="1" customWidth="1"/>
    <col min="6" max="6" width="17.00390625" style="0" bestFit="1" customWidth="1"/>
    <col min="7" max="7" width="9.8515625" style="0" bestFit="1" customWidth="1"/>
    <col min="8" max="8" width="12.7109375" style="0" customWidth="1"/>
    <col min="9" max="9" width="10.7109375" style="0" bestFit="1" customWidth="1"/>
  </cols>
  <sheetData>
    <row r="1" ht="7.5" customHeight="1"/>
    <row r="2" spans="1:7" ht="30">
      <c r="A2" s="1288" t="s">
        <v>40</v>
      </c>
      <c r="B2" s="1289"/>
      <c r="C2" s="1289"/>
      <c r="D2" s="1289"/>
      <c r="E2" s="1289"/>
      <c r="F2" s="1289"/>
      <c r="G2" s="1289"/>
    </row>
    <row r="3" spans="1:7" ht="27" customHeight="1">
      <c r="A3" s="1290" t="s">
        <v>436</v>
      </c>
      <c r="B3" s="1290"/>
      <c r="C3" s="1290"/>
      <c r="D3" s="1290"/>
      <c r="E3" s="1290"/>
      <c r="F3" s="1290"/>
      <c r="G3" s="1290"/>
    </row>
    <row r="4" spans="1:7" ht="9.75" customHeight="1" thickBot="1">
      <c r="A4" s="1296"/>
      <c r="B4" s="1297"/>
      <c r="C4" s="1297"/>
      <c r="D4" s="1297"/>
      <c r="E4" s="1297"/>
      <c r="F4" s="1297"/>
      <c r="G4" s="1297"/>
    </row>
    <row r="5" spans="1:7" s="42" customFormat="1" ht="12" customHeight="1" thickTop="1">
      <c r="A5" s="25"/>
      <c r="B5" s="26"/>
      <c r="C5" s="48"/>
      <c r="D5" s="1291" t="s">
        <v>926</v>
      </c>
      <c r="E5" s="1291" t="s">
        <v>925</v>
      </c>
      <c r="F5" s="1298" t="s">
        <v>41</v>
      </c>
      <c r="G5" s="1280" t="s">
        <v>121</v>
      </c>
    </row>
    <row r="6" spans="1:7" ht="24" customHeight="1">
      <c r="A6" s="232"/>
      <c r="B6" s="223"/>
      <c r="C6" s="224"/>
      <c r="D6" s="1292"/>
      <c r="E6" s="1292"/>
      <c r="F6" s="1299"/>
      <c r="G6" s="1281"/>
    </row>
    <row r="7" spans="1:7" s="42" customFormat="1" ht="19.5" customHeight="1">
      <c r="A7" s="232"/>
      <c r="B7" s="223"/>
      <c r="C7" s="49"/>
      <c r="D7" s="1292"/>
      <c r="E7" s="1292"/>
      <c r="F7" s="1299"/>
      <c r="G7" s="1281"/>
    </row>
    <row r="8" spans="1:7" s="42" customFormat="1" ht="27" customHeight="1" thickBot="1">
      <c r="A8" s="233"/>
      <c r="B8" s="27"/>
      <c r="C8" s="137" t="s">
        <v>399</v>
      </c>
      <c r="D8" s="1293"/>
      <c r="E8" s="1293"/>
      <c r="F8" s="1300"/>
      <c r="G8" s="1282"/>
    </row>
    <row r="9" spans="1:7" s="42" customFormat="1" ht="6" customHeight="1" thickTop="1">
      <c r="A9" s="234"/>
      <c r="B9" s="28"/>
      <c r="C9" s="136"/>
      <c r="D9" s="30"/>
      <c r="E9" s="30"/>
      <c r="F9" s="169"/>
      <c r="G9" s="873"/>
    </row>
    <row r="10" spans="1:7" s="42" customFormat="1" ht="16.5" thickBot="1">
      <c r="A10" s="235" t="s">
        <v>384</v>
      </c>
      <c r="B10" s="60" t="s">
        <v>372</v>
      </c>
      <c r="C10" s="61"/>
      <c r="D10" s="291">
        <v>3855</v>
      </c>
      <c r="E10" s="291">
        <f>'Table 3 Levels 1&amp;2'!Q77</f>
        <v>3855</v>
      </c>
      <c r="F10" s="291">
        <f>E10-D10</f>
        <v>0</v>
      </c>
      <c r="G10" s="874">
        <f aca="true" t="shared" si="0" ref="G10:G17">ROUND((E10/D10)-1,4)</f>
        <v>0</v>
      </c>
    </row>
    <row r="11" spans="1:7" s="42" customFormat="1" ht="17.25" customHeight="1">
      <c r="A11" s="236" t="s">
        <v>385</v>
      </c>
      <c r="B11" s="62" t="s">
        <v>424</v>
      </c>
      <c r="C11" s="63"/>
      <c r="D11" s="64">
        <v>913441</v>
      </c>
      <c r="E11" s="177">
        <f>SUM(E12:E17)</f>
        <v>911320</v>
      </c>
      <c r="F11" s="177">
        <f>E11-D11</f>
        <v>-2121</v>
      </c>
      <c r="G11" s="875">
        <f t="shared" si="0"/>
        <v>-0.0023</v>
      </c>
    </row>
    <row r="12" spans="1:7" s="42" customFormat="1" ht="21.75" customHeight="1">
      <c r="A12" s="237"/>
      <c r="B12" s="34" t="s">
        <v>373</v>
      </c>
      <c r="C12" s="33" t="s">
        <v>25</v>
      </c>
      <c r="D12" s="35">
        <v>649766</v>
      </c>
      <c r="E12" s="178">
        <f>'Table 3 Levels 1&amp;2'!C77</f>
        <v>650290</v>
      </c>
      <c r="F12" s="179">
        <f aca="true" t="shared" si="1" ref="F12:F17">E12-D12</f>
        <v>524</v>
      </c>
      <c r="G12" s="876">
        <f t="shared" si="0"/>
        <v>0.0008</v>
      </c>
    </row>
    <row r="13" spans="1:7" s="42" customFormat="1" ht="18.75" customHeight="1">
      <c r="A13" s="237"/>
      <c r="B13" s="34" t="s">
        <v>374</v>
      </c>
      <c r="C13" s="33" t="s">
        <v>417</v>
      </c>
      <c r="D13" s="265">
        <v>92116</v>
      </c>
      <c r="E13" s="266">
        <f>'Table 3 Levels 1&amp;2'!E77</f>
        <v>92528</v>
      </c>
      <c r="F13" s="267">
        <f t="shared" si="1"/>
        <v>412</v>
      </c>
      <c r="G13" s="877">
        <f t="shared" si="0"/>
        <v>0.0045</v>
      </c>
    </row>
    <row r="14" spans="1:7" s="42" customFormat="1" ht="18.75" customHeight="1">
      <c r="A14" s="237"/>
      <c r="B14" s="34" t="s">
        <v>375</v>
      </c>
      <c r="C14" s="33" t="s">
        <v>418</v>
      </c>
      <c r="D14" s="35">
        <v>11996</v>
      </c>
      <c r="E14" s="178">
        <f>'Table 3 Levels 1&amp;2'!G77</f>
        <v>11752</v>
      </c>
      <c r="F14" s="179">
        <f t="shared" si="1"/>
        <v>-244</v>
      </c>
      <c r="G14" s="876">
        <f t="shared" si="0"/>
        <v>-0.0203</v>
      </c>
    </row>
    <row r="15" spans="1:7" s="42" customFormat="1" ht="18.75" customHeight="1">
      <c r="A15" s="237"/>
      <c r="B15" s="34" t="s">
        <v>376</v>
      </c>
      <c r="C15" s="33" t="s">
        <v>377</v>
      </c>
      <c r="D15" s="35">
        <v>131812</v>
      </c>
      <c r="E15" s="178">
        <f>'Table 3 Levels 1&amp;2'!I77</f>
        <v>128510</v>
      </c>
      <c r="F15" s="179">
        <f t="shared" si="1"/>
        <v>-3302</v>
      </c>
      <c r="G15" s="876">
        <f t="shared" si="0"/>
        <v>-0.0251</v>
      </c>
    </row>
    <row r="16" spans="1:7" s="42" customFormat="1" ht="18.75" customHeight="1">
      <c r="A16" s="237"/>
      <c r="B16" s="34" t="s">
        <v>378</v>
      </c>
      <c r="C16" s="33" t="s">
        <v>379</v>
      </c>
      <c r="D16" s="35">
        <v>14121</v>
      </c>
      <c r="E16" s="178">
        <f>'Table 3 Levels 1&amp;2'!K77</f>
        <v>14686</v>
      </c>
      <c r="F16" s="179">
        <f t="shared" si="1"/>
        <v>565</v>
      </c>
      <c r="G16" s="876">
        <f t="shared" si="0"/>
        <v>0.04</v>
      </c>
    </row>
    <row r="17" spans="1:7" s="42" customFormat="1" ht="15.75">
      <c r="A17" s="237"/>
      <c r="B17" s="36" t="s">
        <v>380</v>
      </c>
      <c r="C17" s="29" t="s">
        <v>400</v>
      </c>
      <c r="D17" s="37">
        <v>13630</v>
      </c>
      <c r="E17" s="180">
        <f>'Table 3 Levels 1&amp;2'!N77</f>
        <v>13554</v>
      </c>
      <c r="F17" s="181">
        <f t="shared" si="1"/>
        <v>-76</v>
      </c>
      <c r="G17" s="878">
        <f t="shared" si="0"/>
        <v>-0.0056</v>
      </c>
    </row>
    <row r="18" spans="1:7" s="42" customFormat="1" ht="2.25" customHeight="1" thickBot="1">
      <c r="A18" s="238"/>
      <c r="B18" s="65"/>
      <c r="C18" s="66"/>
      <c r="D18" s="67"/>
      <c r="E18" s="170"/>
      <c r="F18" s="170"/>
      <c r="G18" s="879"/>
    </row>
    <row r="19" spans="1:7" s="42" customFormat="1" ht="15.75">
      <c r="A19" s="237" t="s">
        <v>386</v>
      </c>
      <c r="B19" s="31" t="s">
        <v>381</v>
      </c>
      <c r="C19" s="39"/>
      <c r="D19" s="32">
        <v>3521315055</v>
      </c>
      <c r="E19" s="32">
        <f>'Table 3 Levels 1&amp;2'!R77</f>
        <v>3513138600</v>
      </c>
      <c r="F19" s="32">
        <f aca="true" t="shared" si="2" ref="F19:F31">E19-D19</f>
        <v>-8176455</v>
      </c>
      <c r="G19" s="876">
        <f aca="true" t="shared" si="3" ref="G19:G31">ROUND((E19/D19)-1,4)</f>
        <v>-0.0023</v>
      </c>
    </row>
    <row r="20" spans="1:7" s="42" customFormat="1" ht="21.75" customHeight="1">
      <c r="A20" s="237"/>
      <c r="B20" s="105" t="s">
        <v>373</v>
      </c>
      <c r="C20" s="106" t="s">
        <v>485</v>
      </c>
      <c r="D20" s="107">
        <v>2289015284</v>
      </c>
      <c r="E20" s="107">
        <f>'Table 3 Levels 1&amp;2'!U77</f>
        <v>2283384750.5</v>
      </c>
      <c r="F20" s="107">
        <f t="shared" si="2"/>
        <v>-5630533.5</v>
      </c>
      <c r="G20" s="880">
        <f t="shared" si="3"/>
        <v>-0.0025</v>
      </c>
    </row>
    <row r="21" spans="1:7" s="42" customFormat="1" ht="18.75" customHeight="1" thickBot="1">
      <c r="A21" s="238"/>
      <c r="B21" s="68" t="s">
        <v>374</v>
      </c>
      <c r="C21" s="69" t="s">
        <v>486</v>
      </c>
      <c r="D21" s="70">
        <v>1232299771</v>
      </c>
      <c r="E21" s="70">
        <f>'Table 3 Levels 1&amp;2'!T77</f>
        <v>1229753849.5</v>
      </c>
      <c r="F21" s="70">
        <f t="shared" si="2"/>
        <v>-2545921.5</v>
      </c>
      <c r="G21" s="879">
        <f t="shared" si="3"/>
        <v>-0.0021</v>
      </c>
    </row>
    <row r="22" spans="1:7" s="42" customFormat="1" ht="18.75" customHeight="1">
      <c r="A22" s="239" t="s">
        <v>387</v>
      </c>
      <c r="B22" s="31" t="s">
        <v>401</v>
      </c>
      <c r="C22" s="92"/>
      <c r="D22" s="32">
        <v>2550903641</v>
      </c>
      <c r="E22" s="32">
        <f>'Table 7 Local Revenue'!AQ77</f>
        <v>2682864042.8900003</v>
      </c>
      <c r="F22" s="32">
        <f t="shared" si="2"/>
        <v>131960401.89000034</v>
      </c>
      <c r="G22" s="876">
        <f t="shared" si="3"/>
        <v>0.0517</v>
      </c>
    </row>
    <row r="23" spans="1:7" s="42" customFormat="1" ht="19.5" customHeight="1">
      <c r="A23" s="237"/>
      <c r="B23" s="40" t="s">
        <v>373</v>
      </c>
      <c r="C23" s="31" t="s">
        <v>479</v>
      </c>
      <c r="D23" s="32">
        <v>23001584950.4</v>
      </c>
      <c r="E23" s="32">
        <f>'Table 7 Local Revenue'!H77</f>
        <v>24984942951.1</v>
      </c>
      <c r="F23" s="32">
        <f t="shared" si="2"/>
        <v>1983358000.699997</v>
      </c>
      <c r="G23" s="876">
        <f t="shared" si="3"/>
        <v>0.0862</v>
      </c>
    </row>
    <row r="24" spans="1:7" s="42" customFormat="1" ht="18.75" customHeight="1">
      <c r="A24" s="237"/>
      <c r="B24" s="40" t="s">
        <v>374</v>
      </c>
      <c r="C24" s="31" t="s">
        <v>484</v>
      </c>
      <c r="D24" s="32">
        <v>77221392627.1</v>
      </c>
      <c r="E24" s="32">
        <f>'Table 7 Local Revenue'!AM77</f>
        <v>80515819589.95</v>
      </c>
      <c r="F24" s="32">
        <f t="shared" si="2"/>
        <v>3294426962.849991</v>
      </c>
      <c r="G24" s="876">
        <f t="shared" si="3"/>
        <v>0.0427</v>
      </c>
    </row>
    <row r="25" spans="1:7" s="42" customFormat="1" ht="18.75" customHeight="1">
      <c r="A25" s="237"/>
      <c r="B25" s="40" t="s">
        <v>375</v>
      </c>
      <c r="C25" s="31" t="s">
        <v>402</v>
      </c>
      <c r="D25" s="619" t="s">
        <v>643</v>
      </c>
      <c r="E25" s="365" t="s">
        <v>671</v>
      </c>
      <c r="F25" s="174"/>
      <c r="G25" s="876"/>
    </row>
    <row r="26" spans="1:7" s="42" customFormat="1" ht="15.75">
      <c r="A26" s="237"/>
      <c r="B26" s="40" t="s">
        <v>376</v>
      </c>
      <c r="C26" s="31" t="s">
        <v>403</v>
      </c>
      <c r="D26" s="620" t="s">
        <v>466</v>
      </c>
      <c r="E26" s="366" t="s">
        <v>672</v>
      </c>
      <c r="F26" s="173"/>
      <c r="G26" s="876"/>
    </row>
    <row r="27" spans="1:7" s="42" customFormat="1" ht="15.75">
      <c r="A27" s="237"/>
      <c r="B27" s="40" t="s">
        <v>378</v>
      </c>
      <c r="C27" s="31" t="s">
        <v>404</v>
      </c>
      <c r="D27" s="32">
        <v>968874173</v>
      </c>
      <c r="E27" s="32">
        <f>'Table 7 Local Revenue'!AE77</f>
        <v>1057077123</v>
      </c>
      <c r="F27" s="32">
        <f t="shared" si="2"/>
        <v>88202950</v>
      </c>
      <c r="G27" s="876">
        <f t="shared" si="3"/>
        <v>0.091</v>
      </c>
    </row>
    <row r="28" spans="1:7" s="42" customFormat="1" ht="18.75" customHeight="1">
      <c r="A28" s="237"/>
      <c r="B28" s="40" t="s">
        <v>380</v>
      </c>
      <c r="C28" s="31" t="s">
        <v>405</v>
      </c>
      <c r="D28" s="32">
        <v>1542515050</v>
      </c>
      <c r="E28" s="32">
        <f>'Table 7 Local Revenue'!AI77</f>
        <v>1582658375.8899999</v>
      </c>
      <c r="F28" s="32">
        <f t="shared" si="2"/>
        <v>40143325.88999987</v>
      </c>
      <c r="G28" s="876">
        <f t="shared" si="3"/>
        <v>0.026</v>
      </c>
    </row>
    <row r="29" spans="1:7" s="42" customFormat="1" ht="18.75" customHeight="1" thickBot="1">
      <c r="A29" s="238"/>
      <c r="B29" s="71" t="s">
        <v>406</v>
      </c>
      <c r="C29" s="72" t="s">
        <v>407</v>
      </c>
      <c r="D29" s="73">
        <v>39514418</v>
      </c>
      <c r="E29" s="73">
        <f>'Table 7 Local Revenue'!AP77</f>
        <v>43128544</v>
      </c>
      <c r="F29" s="73">
        <f t="shared" si="2"/>
        <v>3614126</v>
      </c>
      <c r="G29" s="881">
        <f t="shared" si="3"/>
        <v>0.0915</v>
      </c>
    </row>
    <row r="30" spans="1:7" s="42" customFormat="1" ht="18.75" customHeight="1">
      <c r="A30" s="237" t="s">
        <v>388</v>
      </c>
      <c r="B30" s="38" t="s">
        <v>382</v>
      </c>
      <c r="C30" s="31"/>
      <c r="D30" s="32">
        <v>993795659.3</v>
      </c>
      <c r="E30" s="32">
        <f>'Table 3 Levels 1&amp;2'!AC77</f>
        <v>1032326990.3000003</v>
      </c>
      <c r="F30" s="32">
        <f t="shared" si="2"/>
        <v>38531331.00000036</v>
      </c>
      <c r="G30" s="876">
        <f t="shared" si="3"/>
        <v>0.0388</v>
      </c>
    </row>
    <row r="31" spans="1:7" s="42" customFormat="1" ht="23.25" customHeight="1" thickBot="1">
      <c r="A31" s="240"/>
      <c r="B31" s="105" t="s">
        <v>373</v>
      </c>
      <c r="C31" s="108" t="s">
        <v>487</v>
      </c>
      <c r="D31" s="107">
        <v>362201168.26163596</v>
      </c>
      <c r="E31" s="107">
        <f>'Table 3 Levels 1&amp;2'!AE77</f>
        <v>380104865.67742157</v>
      </c>
      <c r="F31" s="107">
        <f t="shared" si="2"/>
        <v>17903697.41578561</v>
      </c>
      <c r="G31" s="880">
        <f t="shared" si="3"/>
        <v>0.0494</v>
      </c>
    </row>
    <row r="32" spans="1:7" s="42" customFormat="1" ht="18.75" customHeight="1" thickBot="1">
      <c r="A32" s="241" t="s">
        <v>431</v>
      </c>
      <c r="B32" s="109" t="s">
        <v>430</v>
      </c>
      <c r="C32" s="110"/>
      <c r="D32" s="111">
        <v>2651216452.261636</v>
      </c>
      <c r="E32" s="111">
        <f>E20+E31</f>
        <v>2663489616.1774216</v>
      </c>
      <c r="F32" s="111">
        <f>E32-D32</f>
        <v>12273163.91578579</v>
      </c>
      <c r="G32" s="882">
        <f>ROUND((E32/D32)-1,4)</f>
        <v>0.0046</v>
      </c>
    </row>
    <row r="33" spans="1:7" s="42" customFormat="1" ht="27.75" customHeight="1">
      <c r="A33" s="242" t="s">
        <v>389</v>
      </c>
      <c r="B33" s="1294" t="s">
        <v>136</v>
      </c>
      <c r="C33" s="1295"/>
      <c r="D33" s="716">
        <f>D34+D35+D36+D37+D38+D39+D40+D41+D46</f>
        <v>606476804.2672675</v>
      </c>
      <c r="E33" s="716">
        <f>E34+E35+E36+E37+E38+E39+E40+E41+E46</f>
        <v>608306276.8067838</v>
      </c>
      <c r="F33" s="716">
        <f>E33-D33</f>
        <v>1829472.5395163298</v>
      </c>
      <c r="G33" s="883">
        <f>ROUND((E33/D33)-1,4)</f>
        <v>0.003</v>
      </c>
    </row>
    <row r="34" spans="1:7" s="42" customFormat="1" ht="27" customHeight="1">
      <c r="A34" s="243"/>
      <c r="B34" s="387" t="s">
        <v>373</v>
      </c>
      <c r="C34" s="213" t="s">
        <v>84</v>
      </c>
      <c r="D34" s="99">
        <v>194241147</v>
      </c>
      <c r="E34" s="99">
        <f>+'Table 4 Level 3'!D75</f>
        <v>194363072</v>
      </c>
      <c r="F34" s="99">
        <f>E34-D34</f>
        <v>121925</v>
      </c>
      <c r="G34" s="884">
        <f>ROUND((E34/D34)-1,4)</f>
        <v>0.0006</v>
      </c>
    </row>
    <row r="35" spans="1:7" s="42" customFormat="1" ht="15.75">
      <c r="A35" s="243"/>
      <c r="B35" s="387" t="s">
        <v>374</v>
      </c>
      <c r="C35" s="214" t="s">
        <v>473</v>
      </c>
      <c r="D35" s="99">
        <v>161997021.51934555</v>
      </c>
      <c r="E35" s="99">
        <f>'Table 4 Level 3'!X75</f>
        <v>162080991.7098672</v>
      </c>
      <c r="F35" s="99"/>
      <c r="G35" s="884"/>
    </row>
    <row r="36" spans="1:7" s="42" customFormat="1" ht="18" customHeight="1">
      <c r="A36" s="243"/>
      <c r="B36" s="387" t="s">
        <v>375</v>
      </c>
      <c r="C36" s="214" t="s">
        <v>474</v>
      </c>
      <c r="D36" s="99">
        <v>46042071.74792192</v>
      </c>
      <c r="E36" s="99">
        <f>'Table 4 Level 3'!AB75</f>
        <v>45992027.48744213</v>
      </c>
      <c r="F36" s="99"/>
      <c r="G36" s="884"/>
    </row>
    <row r="37" spans="1:7" s="42" customFormat="1" ht="18" customHeight="1">
      <c r="A37" s="243"/>
      <c r="B37" s="387" t="s">
        <v>376</v>
      </c>
      <c r="C37" s="214" t="s">
        <v>689</v>
      </c>
      <c r="D37" s="99">
        <v>57047032</v>
      </c>
      <c r="E37" s="99">
        <f>'Table 4 Level 3'!AF75</f>
        <v>56208253.60947445</v>
      </c>
      <c r="F37" s="99"/>
      <c r="G37" s="884"/>
    </row>
    <row r="38" spans="1:7" s="42" customFormat="1" ht="18" customHeight="1">
      <c r="A38" s="243"/>
      <c r="B38" s="387" t="s">
        <v>378</v>
      </c>
      <c r="C38" s="214" t="s">
        <v>134</v>
      </c>
      <c r="D38" s="99">
        <v>5380000</v>
      </c>
      <c r="E38" s="99">
        <f>'Table 4 Level 3'!F75</f>
        <v>5240000</v>
      </c>
      <c r="F38" s="99">
        <f aca="true" t="shared" si="4" ref="F38:F48">E38-D38</f>
        <v>-140000</v>
      </c>
      <c r="G38" s="884">
        <f>ROUND((E38/D38)-1,4)</f>
        <v>-0.026</v>
      </c>
    </row>
    <row r="39" spans="1:7" s="42" customFormat="1" ht="18" customHeight="1">
      <c r="A39" s="243"/>
      <c r="B39" s="387" t="s">
        <v>380</v>
      </c>
      <c r="C39" s="214" t="s">
        <v>133</v>
      </c>
      <c r="D39" s="99">
        <v>0</v>
      </c>
      <c r="E39" s="99">
        <f>'Table 4 Level 3'!H75</f>
        <v>0</v>
      </c>
      <c r="F39" s="99">
        <f t="shared" si="4"/>
        <v>0</v>
      </c>
      <c r="G39" s="884">
        <v>0</v>
      </c>
    </row>
    <row r="40" spans="1:7" s="42" customFormat="1" ht="18" customHeight="1">
      <c r="A40" s="243"/>
      <c r="B40" s="387" t="s">
        <v>406</v>
      </c>
      <c r="C40" s="262" t="s">
        <v>419</v>
      </c>
      <c r="D40" s="263">
        <v>64976600</v>
      </c>
      <c r="E40" s="263">
        <f>'Table 4 Level 3'!R75</f>
        <v>65029000</v>
      </c>
      <c r="F40" s="264">
        <f t="shared" si="4"/>
        <v>52400</v>
      </c>
      <c r="G40" s="884">
        <f aca="true" t="shared" si="5" ref="G40:G46">ROUND((E40/D40)-1,4)</f>
        <v>0.0008</v>
      </c>
    </row>
    <row r="41" spans="1:7" s="42" customFormat="1" ht="18" customHeight="1">
      <c r="A41" s="243"/>
      <c r="B41" s="387" t="s">
        <v>437</v>
      </c>
      <c r="C41" s="262" t="s">
        <v>460</v>
      </c>
      <c r="D41" s="263">
        <v>76792932</v>
      </c>
      <c r="E41" s="263">
        <f>SUM(E42:E45)</f>
        <v>76792932</v>
      </c>
      <c r="F41" s="264">
        <f t="shared" si="4"/>
        <v>0</v>
      </c>
      <c r="G41" s="884">
        <f t="shared" si="5"/>
        <v>0</v>
      </c>
    </row>
    <row r="42" spans="1:7" s="42" customFormat="1" ht="18" customHeight="1">
      <c r="A42" s="243"/>
      <c r="B42" s="707"/>
      <c r="C42" s="900" t="s">
        <v>31</v>
      </c>
      <c r="D42" s="901">
        <v>38336714</v>
      </c>
      <c r="E42" s="901">
        <f>'Table 4 Level 3'!J75</f>
        <v>38336714</v>
      </c>
      <c r="F42" s="901">
        <f t="shared" si="4"/>
        <v>0</v>
      </c>
      <c r="G42" s="902">
        <f t="shared" si="5"/>
        <v>0</v>
      </c>
    </row>
    <row r="43" spans="1:7" s="42" customFormat="1" ht="18" customHeight="1">
      <c r="A43" s="243"/>
      <c r="B43" s="707"/>
      <c r="C43" s="900" t="s">
        <v>32</v>
      </c>
      <c r="D43" s="901">
        <v>38456219</v>
      </c>
      <c r="E43" s="901">
        <f>'Table 4 Level 3'!K75</f>
        <v>38456219</v>
      </c>
      <c r="F43" s="901">
        <f t="shared" si="4"/>
        <v>0</v>
      </c>
      <c r="G43" s="902">
        <f t="shared" si="5"/>
        <v>0</v>
      </c>
    </row>
    <row r="44" spans="1:7" s="42" customFormat="1" ht="18" customHeight="1">
      <c r="A44" s="243"/>
      <c r="B44" s="707"/>
      <c r="C44" s="906" t="s">
        <v>33</v>
      </c>
      <c r="D44" s="907">
        <v>-8698636</v>
      </c>
      <c r="E44" s="907">
        <f>'Table 4 Level 3'!L75+'Table 4 Level 3'!N75</f>
        <v>-12418335</v>
      </c>
      <c r="F44" s="907">
        <f t="shared" si="4"/>
        <v>-3719699</v>
      </c>
      <c r="G44" s="908">
        <f t="shared" si="5"/>
        <v>0.4276</v>
      </c>
    </row>
    <row r="45" spans="1:7" s="42" customFormat="1" ht="18" customHeight="1">
      <c r="A45" s="243"/>
      <c r="B45" s="705"/>
      <c r="C45" s="262" t="s">
        <v>34</v>
      </c>
      <c r="D45" s="263">
        <v>8698635</v>
      </c>
      <c r="E45" s="263">
        <f>'Table 4 Level 3'!P75</f>
        <v>12418334</v>
      </c>
      <c r="F45" s="263">
        <f t="shared" si="4"/>
        <v>3719699</v>
      </c>
      <c r="G45" s="884">
        <f t="shared" si="5"/>
        <v>0.4276</v>
      </c>
    </row>
    <row r="46" spans="1:7" s="42" customFormat="1" ht="18" customHeight="1">
      <c r="A46" s="243"/>
      <c r="B46" s="706" t="s">
        <v>28</v>
      </c>
      <c r="C46" s="708" t="s">
        <v>37</v>
      </c>
      <c r="D46" s="709">
        <v>0</v>
      </c>
      <c r="E46" s="709">
        <f>SUM(E47:E48)</f>
        <v>2600000</v>
      </c>
      <c r="F46" s="710">
        <f t="shared" si="4"/>
        <v>2600000</v>
      </c>
      <c r="G46" s="885" t="e">
        <f t="shared" si="5"/>
        <v>#DIV/0!</v>
      </c>
    </row>
    <row r="47" spans="1:7" s="42" customFormat="1" ht="18" customHeight="1">
      <c r="A47" s="243"/>
      <c r="B47" s="707"/>
      <c r="C47" s="900" t="s">
        <v>35</v>
      </c>
      <c r="D47" s="901">
        <v>0</v>
      </c>
      <c r="E47" s="901">
        <f>'Table 4 Level 3'!S39</f>
        <v>1600000</v>
      </c>
      <c r="F47" s="901">
        <f t="shared" si="4"/>
        <v>1600000</v>
      </c>
      <c r="G47" s="902"/>
    </row>
    <row r="48" spans="1:7" s="42" customFormat="1" ht="18" customHeight="1" thickBot="1">
      <c r="A48" s="243"/>
      <c r="B48" s="707"/>
      <c r="C48" s="900" t="s">
        <v>36</v>
      </c>
      <c r="D48" s="901">
        <v>0</v>
      </c>
      <c r="E48" s="901">
        <f>'Table 4 Level 3'!S61</f>
        <v>1000000</v>
      </c>
      <c r="F48" s="901">
        <f t="shared" si="4"/>
        <v>1000000</v>
      </c>
      <c r="G48" s="902"/>
    </row>
    <row r="49" spans="1:7" s="42" customFormat="1" ht="18" customHeight="1">
      <c r="A49" s="465" t="s">
        <v>390</v>
      </c>
      <c r="B49" s="466" t="s">
        <v>383</v>
      </c>
      <c r="C49" s="467"/>
      <c r="D49" s="468"/>
      <c r="E49" s="468"/>
      <c r="F49" s="468"/>
      <c r="G49" s="886"/>
    </row>
    <row r="50" spans="1:7" s="42" customFormat="1" ht="22.5" customHeight="1">
      <c r="A50" s="244"/>
      <c r="B50" s="121" t="s">
        <v>421</v>
      </c>
      <c r="C50" s="122"/>
      <c r="D50" s="123">
        <f>SUM(D32:D33)</f>
        <v>3257693256.528903</v>
      </c>
      <c r="E50" s="123">
        <f>SUM(E32:E33)</f>
        <v>3271795892.9842052</v>
      </c>
      <c r="F50" s="123">
        <f>E50-D50</f>
        <v>14102636.455302238</v>
      </c>
      <c r="G50" s="887">
        <f aca="true" t="shared" si="6" ref="G50:G63">ROUND((E50/D50)-1,4)</f>
        <v>0.0043</v>
      </c>
    </row>
    <row r="51" spans="1:7" s="42" customFormat="1" ht="16.5" thickBot="1">
      <c r="A51" s="245"/>
      <c r="B51" s="112"/>
      <c r="C51" s="113" t="s">
        <v>467</v>
      </c>
      <c r="D51" s="443">
        <v>4925.844418650565</v>
      </c>
      <c r="E51" s="443">
        <f>'Table 3 Levels 1&amp;2'!AP77</f>
        <v>5031.287414821395</v>
      </c>
      <c r="F51" s="443">
        <f>E51-D51</f>
        <v>105.44299617083016</v>
      </c>
      <c r="G51" s="888">
        <f t="shared" si="6"/>
        <v>0.0214</v>
      </c>
    </row>
    <row r="52" spans="1:7" s="42" customFormat="1" ht="15.75">
      <c r="A52" s="713" t="s">
        <v>391</v>
      </c>
      <c r="B52" s="1287" t="s">
        <v>242</v>
      </c>
      <c r="C52" s="1287"/>
      <c r="D52" s="714"/>
      <c r="E52" s="715"/>
      <c r="F52" s="221"/>
      <c r="G52" s="889"/>
    </row>
    <row r="53" spans="1:7" s="42" customFormat="1" ht="18" customHeight="1">
      <c r="A53" s="246"/>
      <c r="B53" s="220" t="s">
        <v>435</v>
      </c>
      <c r="C53" s="106"/>
      <c r="D53" s="107">
        <v>8384582</v>
      </c>
      <c r="E53" s="107">
        <f>E55+E54</f>
        <v>8354279.671512369</v>
      </c>
      <c r="F53" s="107">
        <f aca="true" t="shared" si="7" ref="F53:F65">E53-D53</f>
        <v>-30302.328487630934</v>
      </c>
      <c r="G53" s="880">
        <f t="shared" si="6"/>
        <v>-0.0036</v>
      </c>
    </row>
    <row r="54" spans="1:7" s="42" customFormat="1" ht="19.5" customHeight="1">
      <c r="A54" s="247"/>
      <c r="B54" s="682" t="s">
        <v>373</v>
      </c>
      <c r="C54" s="683" t="s">
        <v>687</v>
      </c>
      <c r="D54" s="684">
        <v>6426900</v>
      </c>
      <c r="E54" s="684">
        <f>'Table 5A Lab Schools'!B17</f>
        <v>6622024.898141264</v>
      </c>
      <c r="F54" s="684">
        <f t="shared" si="7"/>
        <v>195124.89814126398</v>
      </c>
      <c r="G54" s="890">
        <f t="shared" si="6"/>
        <v>0.0304</v>
      </c>
    </row>
    <row r="55" spans="1:7" s="42" customFormat="1" ht="15.75">
      <c r="A55" s="247"/>
      <c r="B55" s="226" t="s">
        <v>374</v>
      </c>
      <c r="C55" s="218" t="s">
        <v>688</v>
      </c>
      <c r="D55" s="685">
        <v>1957682</v>
      </c>
      <c r="E55" s="219">
        <f>'Table 5A Lab Schools'!B18</f>
        <v>1732254.7733711048</v>
      </c>
      <c r="F55" s="685">
        <f t="shared" si="7"/>
        <v>-225427.22662889515</v>
      </c>
      <c r="G55" s="891">
        <f t="shared" si="6"/>
        <v>-0.1152</v>
      </c>
    </row>
    <row r="56" spans="1:7" s="42" customFormat="1" ht="15.75">
      <c r="A56" s="713" t="s">
        <v>392</v>
      </c>
      <c r="B56" s="229" t="s">
        <v>244</v>
      </c>
      <c r="C56" s="222"/>
      <c r="D56" s="107">
        <v>92338577.96560694</v>
      </c>
      <c r="E56" s="793">
        <f>SUM(E57:E60)</f>
        <v>108293856.20599136</v>
      </c>
      <c r="F56" s="107">
        <f t="shared" si="7"/>
        <v>15955278.240384415</v>
      </c>
      <c r="G56" s="880">
        <f t="shared" si="6"/>
        <v>0.1728</v>
      </c>
    </row>
    <row r="57" spans="1:7" s="42" customFormat="1" ht="15.75">
      <c r="A57" s="247"/>
      <c r="B57" s="682" t="s">
        <v>373</v>
      </c>
      <c r="C57" s="683" t="s">
        <v>337</v>
      </c>
      <c r="D57" s="684">
        <v>85229484.5160721</v>
      </c>
      <c r="E57" s="684">
        <f>'Table 5B1_RSD_Orleans'!S50+'Table 5B1_RSD_Orleans'!S54</f>
        <v>88207618.45026799</v>
      </c>
      <c r="F57" s="684">
        <f t="shared" si="7"/>
        <v>2978133.934195891</v>
      </c>
      <c r="G57" s="890">
        <f t="shared" si="6"/>
        <v>0.0349</v>
      </c>
    </row>
    <row r="58" spans="1:7" s="42" customFormat="1" ht="15.75">
      <c r="A58" s="247"/>
      <c r="B58" s="686">
        <v>2</v>
      </c>
      <c r="C58" s="687" t="s">
        <v>318</v>
      </c>
      <c r="D58" s="688">
        <v>5112901.528481285</v>
      </c>
      <c r="E58" s="688">
        <f>'Table 5B2_RSD_LA'!Q17-'Table 5B2_RSD_LA'!O17-'Table 5B2_RSD_LA'!P17</f>
        <v>12275570.619893987</v>
      </c>
      <c r="F58" s="688">
        <f t="shared" si="7"/>
        <v>7162669.091412702</v>
      </c>
      <c r="G58" s="892"/>
    </row>
    <row r="59" spans="1:7" s="42" customFormat="1" ht="15.75">
      <c r="A59" s="247"/>
      <c r="B59" s="686">
        <v>3</v>
      </c>
      <c r="C59" s="687" t="s">
        <v>340</v>
      </c>
      <c r="D59" s="688">
        <v>1996191.9210535586</v>
      </c>
      <c r="E59" s="688">
        <f>'Table 5B2_RSD_LA'!Q22-'Table 5B2_RSD_LA'!O22-'Table 5B2_RSD_LA'!P22</f>
        <v>1763559.875829384</v>
      </c>
      <c r="F59" s="688">
        <f t="shared" si="7"/>
        <v>-232632.04522417462</v>
      </c>
      <c r="G59" s="892"/>
    </row>
    <row r="60" spans="1:7" s="42" customFormat="1" ht="15.75">
      <c r="A60" s="247"/>
      <c r="B60" s="226">
        <v>4</v>
      </c>
      <c r="C60" s="218" t="s">
        <v>310</v>
      </c>
      <c r="D60" s="685"/>
      <c r="E60" s="685">
        <f>'Table 5B2_RSD_LA'!Q29-'Table 5B2_RSD_LA'!O29-'Table 5B2_RSD_LA'!P29</f>
        <v>6047107.26</v>
      </c>
      <c r="F60" s="685">
        <f t="shared" si="7"/>
        <v>6047107.26</v>
      </c>
      <c r="G60" s="891"/>
    </row>
    <row r="61" spans="1:7" s="42" customFormat="1" ht="15.75">
      <c r="A61" s="249" t="s">
        <v>170</v>
      </c>
      <c r="B61" s="229" t="s">
        <v>52</v>
      </c>
      <c r="C61" s="222"/>
      <c r="D61" s="107"/>
      <c r="E61" s="793">
        <f>'Table 5C1 Madison Prep-CSAL'!K9+'Table 5C2-D''Arbonne Woods'!I8</f>
        <v>1623880.61553771</v>
      </c>
      <c r="F61" s="107">
        <f t="shared" si="7"/>
        <v>1623880.61553771</v>
      </c>
      <c r="G61" s="880"/>
    </row>
    <row r="62" spans="1:7" s="42" customFormat="1" ht="16.5" thickBot="1">
      <c r="A62" s="249" t="s">
        <v>393</v>
      </c>
      <c r="B62" s="229" t="s">
        <v>171</v>
      </c>
      <c r="C62" s="222"/>
      <c r="D62" s="684">
        <v>902000</v>
      </c>
      <c r="E62" s="107">
        <f>'Table 4A Stipends'!G76</f>
        <v>850000</v>
      </c>
      <c r="F62" s="107">
        <f t="shared" si="7"/>
        <v>-52000</v>
      </c>
      <c r="G62" s="880"/>
    </row>
    <row r="63" spans="1:9" s="42" customFormat="1" ht="16.5" thickBot="1">
      <c r="A63" s="248" t="s">
        <v>394</v>
      </c>
      <c r="B63" s="120" t="s">
        <v>468</v>
      </c>
      <c r="C63" s="115"/>
      <c r="D63" s="114">
        <f>D50+D53+D56+D62</f>
        <v>3359318416.49451</v>
      </c>
      <c r="E63" s="114">
        <f>E50+E53+E56+E61+E62</f>
        <v>3390917909.4772468</v>
      </c>
      <c r="F63" s="114">
        <f t="shared" si="7"/>
        <v>31599492.982736588</v>
      </c>
      <c r="G63" s="893">
        <f t="shared" si="6"/>
        <v>0.0094</v>
      </c>
      <c r="I63" s="1190"/>
    </row>
    <row r="64" spans="1:7" s="42" customFormat="1" ht="31.5" customHeight="1">
      <c r="A64" s="249" t="s">
        <v>469</v>
      </c>
      <c r="B64" s="106" t="s">
        <v>288</v>
      </c>
      <c r="C64" s="106"/>
      <c r="D64" s="107">
        <f>SUM(D65:D75)</f>
        <v>-66387797</v>
      </c>
      <c r="E64" s="107">
        <f>SUM(E65:E75)</f>
        <v>-61673945.94427405</v>
      </c>
      <c r="F64" s="107">
        <f t="shared" si="7"/>
        <v>4713851.055725947</v>
      </c>
      <c r="G64" s="894">
        <f>ROUND((E64/D64)-1,4)</f>
        <v>-0.071</v>
      </c>
    </row>
    <row r="65" spans="1:7" s="42" customFormat="1" ht="23.25" customHeight="1">
      <c r="A65" s="237"/>
      <c r="B65" s="40" t="s">
        <v>823</v>
      </c>
      <c r="C65" s="31" t="s">
        <v>443</v>
      </c>
      <c r="D65" s="32">
        <v>-7010422</v>
      </c>
      <c r="E65" s="32">
        <v>-5443476.872327937</v>
      </c>
      <c r="F65" s="32">
        <f t="shared" si="7"/>
        <v>1566945.1276720632</v>
      </c>
      <c r="G65" s="876">
        <f>ROUND((E65/D65)-1,4)</f>
        <v>-0.2235</v>
      </c>
    </row>
    <row r="66" spans="1:7" s="42" customFormat="1" ht="23.25" customHeight="1">
      <c r="A66" s="237"/>
      <c r="B66" s="40" t="s">
        <v>824</v>
      </c>
      <c r="C66" s="480" t="s">
        <v>644</v>
      </c>
      <c r="D66" s="219"/>
      <c r="E66" s="219">
        <v>-3759.706809959278</v>
      </c>
      <c r="F66" s="314"/>
      <c r="G66" s="895"/>
    </row>
    <row r="67" spans="1:7" s="42" customFormat="1" ht="23.25" customHeight="1">
      <c r="A67" s="237"/>
      <c r="B67" s="40" t="s">
        <v>825</v>
      </c>
      <c r="C67" s="614" t="s">
        <v>296</v>
      </c>
      <c r="D67" s="231">
        <v>-320808</v>
      </c>
      <c r="E67" s="231">
        <v>-722616.2233011895</v>
      </c>
      <c r="F67" s="314"/>
      <c r="G67" s="895"/>
    </row>
    <row r="68" spans="1:7" s="42" customFormat="1" ht="23.25" customHeight="1">
      <c r="A68" s="237"/>
      <c r="B68" s="34" t="s">
        <v>826</v>
      </c>
      <c r="C68" s="29" t="s">
        <v>833</v>
      </c>
      <c r="D68" s="255">
        <v>30708455</v>
      </c>
      <c r="E68" s="255">
        <v>45804939.49024414</v>
      </c>
      <c r="F68" s="313">
        <f>E68-D68</f>
        <v>15096484.490244143</v>
      </c>
      <c r="G68" s="896">
        <f>ROUND((E68/D68)-1,4)</f>
        <v>0.4916</v>
      </c>
    </row>
    <row r="69" spans="1:7" s="42" customFormat="1" ht="23.25" customHeight="1">
      <c r="A69" s="237"/>
      <c r="B69" s="40" t="s">
        <v>827</v>
      </c>
      <c r="C69" s="29" t="s">
        <v>834</v>
      </c>
      <c r="D69" s="1174"/>
      <c r="E69" s="1174">
        <v>73904.76028913779</v>
      </c>
      <c r="F69" s="315"/>
      <c r="G69" s="878"/>
    </row>
    <row r="70" spans="1:7" s="42" customFormat="1" ht="23.25" customHeight="1">
      <c r="A70" s="237"/>
      <c r="B70" s="40" t="s">
        <v>828</v>
      </c>
      <c r="C70" s="29" t="s">
        <v>835</v>
      </c>
      <c r="D70" s="1174">
        <v>1672680</v>
      </c>
      <c r="E70" s="1174">
        <v>5618601.941838564</v>
      </c>
      <c r="F70" s="315"/>
      <c r="G70" s="878"/>
    </row>
    <row r="71" spans="1:7" s="42" customFormat="1" ht="23.25" customHeight="1">
      <c r="A71" s="237"/>
      <c r="B71" s="258" t="s">
        <v>897</v>
      </c>
      <c r="C71" s="29" t="s">
        <v>900</v>
      </c>
      <c r="D71" s="1174">
        <v>364176</v>
      </c>
      <c r="E71" s="1174">
        <v>630529.9165128901</v>
      </c>
      <c r="F71" s="315"/>
      <c r="G71" s="878"/>
    </row>
    <row r="72" spans="1:7" s="42" customFormat="1" ht="23.25" customHeight="1">
      <c r="A72" s="237"/>
      <c r="B72" s="258" t="s">
        <v>898</v>
      </c>
      <c r="C72" s="29" t="s">
        <v>901</v>
      </c>
      <c r="D72" s="1174"/>
      <c r="E72" s="1174">
        <v>0</v>
      </c>
      <c r="F72" s="315"/>
      <c r="G72" s="878"/>
    </row>
    <row r="73" spans="1:8" s="42" customFormat="1" ht="23.25" customHeight="1">
      <c r="A73" s="237"/>
      <c r="B73" s="258" t="s">
        <v>899</v>
      </c>
      <c r="C73" s="29" t="s">
        <v>902</v>
      </c>
      <c r="D73" s="1174">
        <v>536700</v>
      </c>
      <c r="E73" s="1174">
        <v>633961.6165114341</v>
      </c>
      <c r="F73" s="315"/>
      <c r="G73" s="878"/>
      <c r="H73" s="1190"/>
    </row>
    <row r="74" spans="1:7" s="42" customFormat="1" ht="23.25" customHeight="1">
      <c r="A74" s="237"/>
      <c r="B74" s="258" t="s">
        <v>903</v>
      </c>
      <c r="C74" s="29" t="s">
        <v>904</v>
      </c>
      <c r="D74" s="1174"/>
      <c r="E74" s="1174">
        <v>27825.338760217557</v>
      </c>
      <c r="F74" s="315"/>
      <c r="G74" s="878"/>
    </row>
    <row r="75" spans="1:7" s="42" customFormat="1" ht="23.25" customHeight="1" thickBot="1">
      <c r="A75" s="237"/>
      <c r="B75" s="258" t="s">
        <v>896</v>
      </c>
      <c r="C75" s="256" t="s">
        <v>245</v>
      </c>
      <c r="D75" s="1174">
        <v>-92338578</v>
      </c>
      <c r="E75" s="1174">
        <v>-108293856.20599136</v>
      </c>
      <c r="F75" s="315">
        <f>E75-D75</f>
        <v>-15955278.205991358</v>
      </c>
      <c r="G75" s="878">
        <f>ROUND((E75/D75)-1,4)</f>
        <v>0.1728</v>
      </c>
    </row>
    <row r="76" spans="1:7" s="42" customFormat="1" ht="23.25" customHeight="1" thickBot="1">
      <c r="A76" s="650" t="s">
        <v>284</v>
      </c>
      <c r="B76" s="1283" t="s">
        <v>488</v>
      </c>
      <c r="C76" s="1284"/>
      <c r="D76" s="651">
        <f>D63+D64</f>
        <v>3292930619.49451</v>
      </c>
      <c r="E76" s="651">
        <f>E63+E64</f>
        <v>3329243963.532973</v>
      </c>
      <c r="F76" s="651">
        <f>E76-D76</f>
        <v>36313344.03846264</v>
      </c>
      <c r="G76" s="897">
        <f>ROUND((E76/D76)-1,4)</f>
        <v>0.011</v>
      </c>
    </row>
    <row r="77" spans="1:7" s="633" customFormat="1" ht="30" customHeight="1" thickBot="1">
      <c r="A77" s="903" t="s">
        <v>289</v>
      </c>
      <c r="B77" s="1285" t="s">
        <v>832</v>
      </c>
      <c r="C77" s="1286"/>
      <c r="D77" s="904">
        <f>3214772070+57047032-1878232</f>
        <v>3269940870</v>
      </c>
      <c r="E77" s="998">
        <f>3175041821+100300000</f>
        <v>3275341821</v>
      </c>
      <c r="F77" s="904">
        <f>E76-E77</f>
        <v>53902142.53297281</v>
      </c>
      <c r="G77" s="905"/>
    </row>
    <row r="78" spans="1:7" s="42" customFormat="1" ht="23.25" customHeight="1">
      <c r="A78" s="250" t="s">
        <v>57</v>
      </c>
      <c r="B78" s="74" t="s">
        <v>231</v>
      </c>
      <c r="C78" s="75"/>
      <c r="D78" s="282"/>
      <c r="E78" s="172"/>
      <c r="F78" s="171"/>
      <c r="G78" s="898"/>
    </row>
    <row r="79" spans="1:7" s="42" customFormat="1" ht="15.75" customHeight="1" thickBot="1">
      <c r="A79" s="251"/>
      <c r="B79" s="148" t="s">
        <v>290</v>
      </c>
      <c r="C79" s="46"/>
      <c r="D79" s="47">
        <f>D76-D77</f>
        <v>22989749.494510174</v>
      </c>
      <c r="E79" s="47">
        <f>E76-E77</f>
        <v>53902142.53297281</v>
      </c>
      <c r="F79" s="47">
        <f>E79-D79</f>
        <v>30912393.03846264</v>
      </c>
      <c r="G79" s="899">
        <f>ROUND((F79/E79)-1,4)</f>
        <v>-0.4265</v>
      </c>
    </row>
    <row r="80" spans="1:7" s="42" customFormat="1" ht="7.5" customHeight="1" thickTop="1">
      <c r="A80"/>
      <c r="B80"/>
      <c r="C80"/>
      <c r="D80" s="268"/>
      <c r="E80" s="268"/>
      <c r="F80"/>
      <c r="G80"/>
    </row>
    <row r="81" spans="3:5" ht="15.75" customHeight="1">
      <c r="C81" s="868"/>
      <c r="D81" s="268"/>
      <c r="E81" s="791"/>
    </row>
    <row r="82" spans="4:5" ht="4.5" customHeight="1">
      <c r="D82" s="268"/>
      <c r="E82" s="649"/>
    </row>
    <row r="83" spans="3:5" ht="1.5" customHeight="1">
      <c r="C83" s="868"/>
      <c r="D83" s="268"/>
      <c r="E83" s="792"/>
    </row>
    <row r="84" spans="4:5" ht="18" customHeight="1">
      <c r="D84" s="268"/>
      <c r="E84" s="649"/>
    </row>
    <row r="85" spans="4:5" ht="12.75">
      <c r="D85" s="268"/>
      <c r="E85" s="649"/>
    </row>
    <row r="86" spans="1:7" ht="18">
      <c r="A86" s="621"/>
      <c r="B86" s="622"/>
      <c r="C86" s="982"/>
      <c r="D86" s="982"/>
      <c r="E86" s="982"/>
      <c r="F86" s="982"/>
      <c r="G86" s="982"/>
    </row>
    <row r="87" spans="2:8" s="621" customFormat="1" ht="18" customHeight="1">
      <c r="B87" s="622"/>
      <c r="C87" s="982"/>
      <c r="D87" s="982"/>
      <c r="E87" s="982"/>
      <c r="F87" s="982"/>
      <c r="G87" s="982"/>
      <c r="H87" s="982"/>
    </row>
    <row r="88" spans="1:8" s="621" customFormat="1" ht="51.75" customHeight="1">
      <c r="A88"/>
      <c r="B88"/>
      <c r="C88" s="280"/>
      <c r="D88" s="77"/>
      <c r="E88" s="59"/>
      <c r="F88" s="77"/>
      <c r="G88"/>
      <c r="H88" s="982"/>
    </row>
    <row r="89" spans="2:7" ht="20.25">
      <c r="B89" s="623"/>
      <c r="C89" s="623"/>
      <c r="D89" s="623"/>
      <c r="E89" s="623"/>
      <c r="F89" s="623"/>
      <c r="G89" s="612"/>
    </row>
    <row r="90" spans="3:6" ht="22.5" customHeight="1">
      <c r="C90" s="280"/>
      <c r="D90" s="80"/>
      <c r="E90" s="80"/>
      <c r="F90" s="77"/>
    </row>
    <row r="91" spans="3:6" ht="12.75">
      <c r="C91" s="281"/>
      <c r="D91" s="272"/>
      <c r="E91" s="272"/>
      <c r="F91" s="77"/>
    </row>
    <row r="92" spans="4:5" ht="12" customHeight="1">
      <c r="D92" s="81"/>
      <c r="E92" s="77"/>
    </row>
    <row r="93" ht="12.75">
      <c r="E93" s="77"/>
    </row>
    <row r="94" ht="12.75">
      <c r="E94" s="273"/>
    </row>
    <row r="95" ht="12.75">
      <c r="E95" s="59"/>
    </row>
    <row r="96" ht="12.75">
      <c r="E96" s="59"/>
    </row>
    <row r="97" ht="12.75">
      <c r="E97" s="59"/>
    </row>
    <row r="98" ht="12.75">
      <c r="F98" s="95"/>
    </row>
  </sheetData>
  <sheetProtection/>
  <mergeCells count="11">
    <mergeCell ref="F5:F8"/>
    <mergeCell ref="G5:G8"/>
    <mergeCell ref="B76:C76"/>
    <mergeCell ref="B77:C77"/>
    <mergeCell ref="B52:C52"/>
    <mergeCell ref="A2:G2"/>
    <mergeCell ref="A3:G3"/>
    <mergeCell ref="E5:E8"/>
    <mergeCell ref="B33:C33"/>
    <mergeCell ref="D5:D8"/>
    <mergeCell ref="A4:G4"/>
  </mergeCells>
  <printOptions horizontalCentered="1"/>
  <pageMargins left="0.25" right="0.25" top="0.27" bottom="0.16" header="0.17" footer="0.16"/>
  <pageSetup firstPageNumber="1" useFirstPageNumber="1" horizontalDpi="600" verticalDpi="600" orientation="portrait" paperSize="5" scale="65" r:id="rId1"/>
  <headerFooter alignWithMargins="0">
    <oddFooter xml:space="preserve">&amp;R&amp;12&amp;P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view="pageLayout" zoomScale="60" zoomScalePageLayoutView="60" workbookViewId="0" topLeftCell="A13">
      <selection activeCell="A26" sqref="A26:A34"/>
    </sheetView>
  </sheetViews>
  <sheetFormatPr defaultColWidth="9.140625" defaultRowHeight="28.5" customHeight="1"/>
  <cols>
    <col min="1" max="1" width="56.140625" style="927" customWidth="1"/>
    <col min="2" max="2" width="15.8515625" style="927" customWidth="1"/>
    <col min="3" max="4" width="16.28125" style="927" customWidth="1"/>
    <col min="5" max="9" width="16.28125" style="944" customWidth="1"/>
    <col min="10" max="19" width="16.28125" style="927" customWidth="1"/>
    <col min="20" max="16384" width="9.140625" style="927" customWidth="1"/>
  </cols>
  <sheetData>
    <row r="2" spans="1:19" ht="42" customHeight="1">
      <c r="A2" s="1411" t="s">
        <v>48</v>
      </c>
      <c r="B2" s="1413" t="s">
        <v>87</v>
      </c>
      <c r="C2" s="1412" t="s">
        <v>843</v>
      </c>
      <c r="D2" s="1412" t="s">
        <v>78</v>
      </c>
      <c r="E2" s="1408" t="s">
        <v>53</v>
      </c>
      <c r="F2" s="1409" t="s">
        <v>73</v>
      </c>
      <c r="G2" s="1410"/>
      <c r="H2" s="1409" t="s">
        <v>55</v>
      </c>
      <c r="I2" s="1410"/>
      <c r="J2" s="1404" t="s">
        <v>844</v>
      </c>
      <c r="K2" s="1315" t="s">
        <v>845</v>
      </c>
      <c r="L2" s="1404" t="s">
        <v>54</v>
      </c>
      <c r="M2" s="1318" t="s">
        <v>735</v>
      </c>
      <c r="N2" s="1315" t="s">
        <v>830</v>
      </c>
      <c r="O2" s="1351" t="s">
        <v>72</v>
      </c>
      <c r="P2" s="1404" t="s">
        <v>836</v>
      </c>
      <c r="Q2" s="1315" t="s">
        <v>846</v>
      </c>
      <c r="R2" s="1315" t="s">
        <v>847</v>
      </c>
      <c r="S2" s="1315" t="s">
        <v>74</v>
      </c>
    </row>
    <row r="3" spans="1:19" ht="73.5" customHeight="1">
      <c r="A3" s="1411"/>
      <c r="B3" s="1413"/>
      <c r="C3" s="1412"/>
      <c r="D3" s="1412"/>
      <c r="E3" s="1408"/>
      <c r="F3" s="54" t="s">
        <v>79</v>
      </c>
      <c r="G3" s="54" t="s">
        <v>88</v>
      </c>
      <c r="H3" s="54" t="s">
        <v>56</v>
      </c>
      <c r="I3" s="54" t="s">
        <v>49</v>
      </c>
      <c r="J3" s="1404"/>
      <c r="K3" s="1356"/>
      <c r="L3" s="1404"/>
      <c r="M3" s="1407"/>
      <c r="N3" s="1356"/>
      <c r="O3" s="1317"/>
      <c r="P3" s="1404"/>
      <c r="Q3" s="1356"/>
      <c r="R3" s="1356"/>
      <c r="S3" s="1356"/>
    </row>
    <row r="4" spans="1:19" s="931" customFormat="1" ht="18" customHeight="1">
      <c r="A4" s="928"/>
      <c r="B4" s="928"/>
      <c r="C4" s="929">
        <v>1</v>
      </c>
      <c r="D4" s="930">
        <f aca="true" t="shared" si="0" ref="D4:J4">C4+1</f>
        <v>2</v>
      </c>
      <c r="E4" s="930">
        <f t="shared" si="0"/>
        <v>3</v>
      </c>
      <c r="F4" s="930">
        <f t="shared" si="0"/>
        <v>4</v>
      </c>
      <c r="G4" s="930">
        <f t="shared" si="0"/>
        <v>5</v>
      </c>
      <c r="H4" s="930">
        <f t="shared" si="0"/>
        <v>6</v>
      </c>
      <c r="I4" s="930">
        <f t="shared" si="0"/>
        <v>7</v>
      </c>
      <c r="J4" s="930">
        <f t="shared" si="0"/>
        <v>8</v>
      </c>
      <c r="K4" s="930">
        <f aca="true" t="shared" si="1" ref="K4:S4">J4+1</f>
        <v>9</v>
      </c>
      <c r="L4" s="930">
        <f t="shared" si="1"/>
        <v>10</v>
      </c>
      <c r="M4" s="930">
        <f t="shared" si="1"/>
        <v>11</v>
      </c>
      <c r="N4" s="930">
        <f t="shared" si="1"/>
        <v>12</v>
      </c>
      <c r="O4" s="930">
        <f t="shared" si="1"/>
        <v>13</v>
      </c>
      <c r="P4" s="930">
        <f t="shared" si="1"/>
        <v>14</v>
      </c>
      <c r="Q4" s="930">
        <f t="shared" si="1"/>
        <v>15</v>
      </c>
      <c r="R4" s="930">
        <f t="shared" si="1"/>
        <v>16</v>
      </c>
      <c r="S4" s="930">
        <f t="shared" si="1"/>
        <v>17</v>
      </c>
    </row>
    <row r="5" spans="1:19" s="936" customFormat="1" ht="67.5" customHeight="1">
      <c r="A5" s="938" t="s">
        <v>77</v>
      </c>
      <c r="B5" s="1186">
        <v>100</v>
      </c>
      <c r="C5" s="932">
        <f>'[21]1_MFP &amp; Funded Membership'!$U$114</f>
        <v>92</v>
      </c>
      <c r="D5" s="933">
        <f>'Table 3 Levels 1&amp;2'!AL24</f>
        <v>3632.310699762789</v>
      </c>
      <c r="E5" s="933">
        <f>C5*D5</f>
        <v>334172.5843781766</v>
      </c>
      <c r="F5" s="935">
        <f>'Table 5B2_RSD_LA'!F7+'Table 5B2_RSD_LA'!H7</f>
        <v>309.24</v>
      </c>
      <c r="G5" s="935">
        <f>F5*C5</f>
        <v>28450.08</v>
      </c>
      <c r="H5" s="935">
        <f>'Table 5B2_RSD_LA'!M7</f>
        <v>113.10762416806803</v>
      </c>
      <c r="I5" s="933">
        <f>H5*C5</f>
        <v>10405.90142346226</v>
      </c>
      <c r="J5" s="935">
        <f>E5+G5+I5</f>
        <v>373028.5658016389</v>
      </c>
      <c r="K5" s="935">
        <f>'March Midyear Adjustment'!M81</f>
        <v>0</v>
      </c>
      <c r="L5" s="935">
        <f>J5+K5</f>
        <v>373028.5658016389</v>
      </c>
      <c r="M5" s="1183">
        <f>-'[22]FY2009-10 MFP SFSF Funds'!$D$78</f>
        <v>-12394</v>
      </c>
      <c r="N5" s="935">
        <f>L5+M5</f>
        <v>360634.5658016389</v>
      </c>
      <c r="O5" s="935">
        <f>-(0.25%*N5)</f>
        <v>-901.5864145040972</v>
      </c>
      <c r="P5" s="1010">
        <f>N5+O5</f>
        <v>359732.9793871348</v>
      </c>
      <c r="Q5" s="935"/>
      <c r="R5" s="935">
        <f>P5-Q5</f>
        <v>359732.9793871348</v>
      </c>
      <c r="S5" s="935">
        <f>R5/4</f>
        <v>89933.2448467837</v>
      </c>
    </row>
    <row r="6" spans="1:19" s="936" customFormat="1" ht="67.5" customHeight="1">
      <c r="A6" s="938" t="s">
        <v>61</v>
      </c>
      <c r="B6" s="1186">
        <v>216</v>
      </c>
      <c r="C6" s="932">
        <f>'[21]1_MFP &amp; Funded Membership'!$U$112</f>
        <v>202</v>
      </c>
      <c r="D6" s="933">
        <f>'Table 3 Levels 1&amp;2'!AL63</f>
        <v>5738.554206138203</v>
      </c>
      <c r="E6" s="933">
        <f>C6*D6</f>
        <v>1159187.949639917</v>
      </c>
      <c r="F6" s="935">
        <f>'Table 4 Level 3'!W61+'Table 4 Level 3'!AA61</f>
        <v>313.78999999999996</v>
      </c>
      <c r="G6" s="935">
        <f>F6*C6</f>
        <v>63385.579999999994</v>
      </c>
      <c r="H6" s="935">
        <f>'Table 4 Level 3'!AE61</f>
        <v>99.45</v>
      </c>
      <c r="I6" s="933">
        <f>H6*C6</f>
        <v>20088.9</v>
      </c>
      <c r="J6" s="935">
        <f>E6+G6+I6</f>
        <v>1242662.4296399169</v>
      </c>
      <c r="K6" s="935">
        <f>'March Midyear Adjustment'!M82</f>
        <v>27825.338760217557</v>
      </c>
      <c r="L6" s="935">
        <f>J6+K6</f>
        <v>1270487.7684001345</v>
      </c>
      <c r="M6" s="1183">
        <f>-'[22]FY2009-10 MFP SFSF Funds'!$D$79</f>
        <v>-40619</v>
      </c>
      <c r="N6" s="935">
        <f>L6+M6</f>
        <v>1229868.7684001345</v>
      </c>
      <c r="O6" s="935">
        <f>-(0.25%*N6)</f>
        <v>-3074.671921000336</v>
      </c>
      <c r="P6" s="1010">
        <f>N6+O6</f>
        <v>1226794.0964791342</v>
      </c>
      <c r="Q6" s="935"/>
      <c r="R6" s="935">
        <f>P6-Q6</f>
        <v>1226794.0964791342</v>
      </c>
      <c r="S6" s="935">
        <f>R6/4</f>
        <v>306698.52411978354</v>
      </c>
    </row>
    <row r="7" spans="1:19" s="936" customFormat="1" ht="33.75" customHeight="1">
      <c r="A7" s="937" t="s">
        <v>50</v>
      </c>
      <c r="B7" s="1187">
        <f>SUM(B5:B6)</f>
        <v>316</v>
      </c>
      <c r="C7" s="1182">
        <f>SUM(C5:C6)</f>
        <v>294</v>
      </c>
      <c r="D7" s="1005"/>
      <c r="E7" s="1005">
        <f>SUM(E5:E6)</f>
        <v>1493360.5340180935</v>
      </c>
      <c r="F7" s="939"/>
      <c r="G7" s="939">
        <f>SUM(G5:G6)</f>
        <v>91835.66</v>
      </c>
      <c r="H7" s="939"/>
      <c r="I7" s="939">
        <f aca="true" t="shared" si="2" ref="I7:S7">SUM(I5:I6)</f>
        <v>30494.80142346226</v>
      </c>
      <c r="J7" s="1005">
        <f t="shared" si="2"/>
        <v>1615690.9954415557</v>
      </c>
      <c r="K7" s="1005">
        <f>SUM(K5:K6)</f>
        <v>27825.338760217557</v>
      </c>
      <c r="L7" s="1005">
        <f>SUM(L5:L6)</f>
        <v>1643516.3342017734</v>
      </c>
      <c r="M7" s="1184">
        <f t="shared" si="2"/>
        <v>-53013</v>
      </c>
      <c r="N7" s="1005">
        <f t="shared" si="2"/>
        <v>1590503.3342017734</v>
      </c>
      <c r="O7" s="1005">
        <f t="shared" si="2"/>
        <v>-3976.2583355044335</v>
      </c>
      <c r="P7" s="1011">
        <f t="shared" si="2"/>
        <v>1586527.075866269</v>
      </c>
      <c r="Q7" s="1005">
        <f t="shared" si="2"/>
        <v>0</v>
      </c>
      <c r="R7" s="1005">
        <f t="shared" si="2"/>
        <v>1586527.075866269</v>
      </c>
      <c r="S7" s="1005">
        <f t="shared" si="2"/>
        <v>396631.76896656724</v>
      </c>
    </row>
    <row r="8" spans="1:19" s="936" customFormat="1" ht="10.5" customHeight="1">
      <c r="A8" s="978"/>
      <c r="B8" s="1188"/>
      <c r="C8" s="979"/>
      <c r="D8" s="980"/>
      <c r="E8" s="980"/>
      <c r="F8" s="980"/>
      <c r="G8" s="980"/>
      <c r="H8" s="980"/>
      <c r="I8" s="980"/>
      <c r="J8" s="980"/>
      <c r="K8" s="980"/>
      <c r="L8" s="980"/>
      <c r="M8" s="1185"/>
      <c r="N8" s="980"/>
      <c r="O8" s="980"/>
      <c r="P8" s="980"/>
      <c r="Q8" s="980"/>
      <c r="R8" s="980"/>
      <c r="S8" s="980"/>
    </row>
    <row r="9" spans="1:19" s="936" customFormat="1" ht="33.75" customHeight="1">
      <c r="A9" s="938" t="s">
        <v>728</v>
      </c>
      <c r="B9" s="1186"/>
      <c r="C9" s="932"/>
      <c r="D9" s="933"/>
      <c r="E9" s="933"/>
      <c r="F9" s="935"/>
      <c r="G9" s="935"/>
      <c r="H9" s="935"/>
      <c r="I9" s="933"/>
      <c r="J9" s="935"/>
      <c r="K9" s="935"/>
      <c r="L9" s="935"/>
      <c r="M9" s="1183"/>
      <c r="N9" s="935"/>
      <c r="O9" s="935">
        <f>-O7</f>
        <v>3976.2583355044335</v>
      </c>
      <c r="P9" s="1010">
        <f>O9</f>
        <v>3976.2583355044335</v>
      </c>
      <c r="Q9" s="935">
        <v>4336</v>
      </c>
      <c r="R9" s="935">
        <f>P9-Q9</f>
        <v>-359.7416644955665</v>
      </c>
      <c r="S9" s="935">
        <v>0</v>
      </c>
    </row>
    <row r="10" spans="1:19" s="936" customFormat="1" ht="10.5" customHeight="1">
      <c r="A10" s="978"/>
      <c r="B10" s="1188"/>
      <c r="C10" s="979"/>
      <c r="D10" s="980"/>
      <c r="E10" s="980"/>
      <c r="F10" s="980"/>
      <c r="G10" s="980"/>
      <c r="H10" s="980"/>
      <c r="I10" s="980"/>
      <c r="J10" s="980"/>
      <c r="K10" s="980"/>
      <c r="L10" s="980"/>
      <c r="M10" s="1185"/>
      <c r="N10" s="980"/>
      <c r="O10" s="980"/>
      <c r="P10" s="980"/>
      <c r="Q10" s="980"/>
      <c r="R10" s="980"/>
      <c r="S10" s="980"/>
    </row>
    <row r="11" spans="1:19" s="1006" customFormat="1" ht="33.75" customHeight="1">
      <c r="A11" s="938" t="s">
        <v>81</v>
      </c>
      <c r="B11" s="1186">
        <f>SUM(B7:B9)</f>
        <v>316</v>
      </c>
      <c r="C11" s="932">
        <f aca="true" t="shared" si="3" ref="C11:N11">SUM(C7:C9)</f>
        <v>294</v>
      </c>
      <c r="D11" s="933">
        <f t="shared" si="3"/>
        <v>0</v>
      </c>
      <c r="E11" s="933">
        <f t="shared" si="3"/>
        <v>1493360.5340180935</v>
      </c>
      <c r="F11" s="1005"/>
      <c r="G11" s="1005">
        <f t="shared" si="3"/>
        <v>91835.66</v>
      </c>
      <c r="H11" s="1005"/>
      <c r="I11" s="939">
        <f t="shared" si="3"/>
        <v>30494.80142346226</v>
      </c>
      <c r="J11" s="1005">
        <f t="shared" si="3"/>
        <v>1615690.9954415557</v>
      </c>
      <c r="K11" s="1005"/>
      <c r="L11" s="1005"/>
      <c r="M11" s="1184">
        <f t="shared" si="3"/>
        <v>-53013</v>
      </c>
      <c r="N11" s="1005">
        <f t="shared" si="3"/>
        <v>1590503.3342017734</v>
      </c>
      <c r="O11" s="1005">
        <f>O9+O7</f>
        <v>0</v>
      </c>
      <c r="P11" s="1011">
        <f>P9+P7</f>
        <v>1590503.3342017734</v>
      </c>
      <c r="Q11" s="1005">
        <f>Q9+Q7</f>
        <v>4336</v>
      </c>
      <c r="R11" s="1005">
        <f>R9+R7</f>
        <v>1586167.3342017734</v>
      </c>
      <c r="S11" s="1005">
        <f>SUM(S7)</f>
        <v>396631.76896656724</v>
      </c>
    </row>
    <row r="12" spans="1:19" ht="12.75" customHeight="1">
      <c r="A12" s="940"/>
      <c r="B12" s="940"/>
      <c r="C12" s="941"/>
      <c r="D12" s="942"/>
      <c r="E12" s="941"/>
      <c r="F12" s="941"/>
      <c r="G12" s="941"/>
      <c r="H12" s="941"/>
      <c r="I12" s="941"/>
      <c r="J12" s="944"/>
      <c r="K12" s="944"/>
      <c r="L12" s="944"/>
      <c r="M12" s="944"/>
      <c r="N12" s="944"/>
      <c r="O12" s="944"/>
      <c r="P12" s="944"/>
      <c r="Q12" s="944"/>
      <c r="R12" s="944"/>
      <c r="S12" s="944"/>
    </row>
    <row r="13" spans="3:19" ht="12.75" customHeight="1">
      <c r="C13" s="941"/>
      <c r="D13" s="942"/>
      <c r="E13" s="941"/>
      <c r="F13" s="941"/>
      <c r="G13" s="943"/>
      <c r="H13" s="943"/>
      <c r="I13" s="943"/>
      <c r="J13" s="944"/>
      <c r="K13" s="944"/>
      <c r="L13" s="944"/>
      <c r="M13" s="944"/>
      <c r="N13" s="944"/>
      <c r="O13" s="944"/>
      <c r="P13" s="944"/>
      <c r="Q13" s="944"/>
      <c r="R13" s="944"/>
      <c r="S13" s="944"/>
    </row>
    <row r="14" spans="1:14" ht="36.75" customHeight="1">
      <c r="A14" s="1411" t="s">
        <v>48</v>
      </c>
      <c r="B14" s="1391" t="s">
        <v>64</v>
      </c>
      <c r="C14" s="1391" t="s">
        <v>76</v>
      </c>
      <c r="D14" s="1391" t="s">
        <v>850</v>
      </c>
      <c r="E14" s="1391" t="s">
        <v>849</v>
      </c>
      <c r="F14" s="1391" t="s">
        <v>726</v>
      </c>
      <c r="G14" s="1391" t="s">
        <v>727</v>
      </c>
      <c r="H14" s="1391" t="s">
        <v>71</v>
      </c>
      <c r="I14" s="1391" t="s">
        <v>837</v>
      </c>
      <c r="J14" s="1391" t="s">
        <v>848</v>
      </c>
      <c r="K14" s="1391" t="s">
        <v>847</v>
      </c>
      <c r="L14" s="1391" t="s">
        <v>75</v>
      </c>
      <c r="M14" s="1405" t="s">
        <v>62</v>
      </c>
      <c r="N14" s="1405" t="s">
        <v>63</v>
      </c>
    </row>
    <row r="15" spans="1:14" ht="62.25" customHeight="1">
      <c r="A15" s="1411"/>
      <c r="B15" s="1392"/>
      <c r="C15" s="1392"/>
      <c r="D15" s="1392"/>
      <c r="E15" s="1392"/>
      <c r="F15" s="1392"/>
      <c r="G15" s="1392"/>
      <c r="H15" s="1392"/>
      <c r="I15" s="1392"/>
      <c r="J15" s="1392"/>
      <c r="K15" s="1392"/>
      <c r="L15" s="1392"/>
      <c r="M15" s="1406"/>
      <c r="N15" s="1406"/>
    </row>
    <row r="16" spans="1:14" ht="17.25" customHeight="1">
      <c r="A16" s="928"/>
      <c r="B16" s="930">
        <f>S4+1</f>
        <v>18</v>
      </c>
      <c r="C16" s="930">
        <f aca="true" t="shared" si="4" ref="C16:N16">B16+1</f>
        <v>19</v>
      </c>
      <c r="D16" s="930">
        <f t="shared" si="4"/>
        <v>20</v>
      </c>
      <c r="E16" s="930">
        <f t="shared" si="4"/>
        <v>21</v>
      </c>
      <c r="F16" s="930">
        <f t="shared" si="4"/>
        <v>22</v>
      </c>
      <c r="G16" s="930">
        <f t="shared" si="4"/>
        <v>23</v>
      </c>
      <c r="H16" s="930">
        <f t="shared" si="4"/>
        <v>24</v>
      </c>
      <c r="I16" s="930">
        <f t="shared" si="4"/>
        <v>25</v>
      </c>
      <c r="J16" s="930">
        <f t="shared" si="4"/>
        <v>26</v>
      </c>
      <c r="K16" s="930">
        <f t="shared" si="4"/>
        <v>27</v>
      </c>
      <c r="L16" s="930">
        <f t="shared" si="4"/>
        <v>28</v>
      </c>
      <c r="M16" s="930">
        <f t="shared" si="4"/>
        <v>29</v>
      </c>
      <c r="N16" s="930">
        <f t="shared" si="4"/>
        <v>30</v>
      </c>
    </row>
    <row r="17" spans="1:14" ht="68.25" customHeight="1">
      <c r="A17" s="938" t="s">
        <v>77</v>
      </c>
      <c r="B17" s="934">
        <v>5331</v>
      </c>
      <c r="C17" s="1012">
        <f>B17*C5</f>
        <v>490452</v>
      </c>
      <c r="D17" s="1194"/>
      <c r="E17" s="1012">
        <f>D17*(B17/2)</f>
        <v>0</v>
      </c>
      <c r="F17" s="1012"/>
      <c r="G17" s="1012">
        <f>F17+E17+C17</f>
        <v>490452</v>
      </c>
      <c r="H17" s="1012">
        <f>-G17*0.25%</f>
        <v>-1226.13</v>
      </c>
      <c r="I17" s="1007">
        <f>G17+H17</f>
        <v>489225.87</v>
      </c>
      <c r="J17" s="1012"/>
      <c r="K17" s="1012">
        <f>I17-J17</f>
        <v>489225.87</v>
      </c>
      <c r="L17" s="1007">
        <f>K17/4</f>
        <v>122306.4675</v>
      </c>
      <c r="M17" s="1014">
        <f>I17+P5</f>
        <v>848958.8493871348</v>
      </c>
      <c r="N17" s="1014">
        <f>L17+S5</f>
        <v>212239.7123467837</v>
      </c>
    </row>
    <row r="18" spans="1:14" ht="72" customHeight="1">
      <c r="A18" s="938" t="s">
        <v>61</v>
      </c>
      <c r="B18" s="934">
        <v>2405</v>
      </c>
      <c r="C18" s="1012">
        <f>B18*C6</f>
        <v>485810</v>
      </c>
      <c r="D18" s="1194"/>
      <c r="E18" s="1012">
        <f>D18*(B18/2)</f>
        <v>0</v>
      </c>
      <c r="F18" s="1012">
        <v>-100000</v>
      </c>
      <c r="G18" s="1012">
        <f>F18+E18+C18</f>
        <v>385810</v>
      </c>
      <c r="H18" s="1012">
        <f>-G18*0.25%</f>
        <v>-964.525</v>
      </c>
      <c r="I18" s="1007">
        <f>G18+H18</f>
        <v>384845.475</v>
      </c>
      <c r="J18" s="1012"/>
      <c r="K18" s="1012">
        <f>I18-J18</f>
        <v>384845.475</v>
      </c>
      <c r="L18" s="1007">
        <f>K18/4</f>
        <v>96211.36875</v>
      </c>
      <c r="M18" s="1014">
        <f>I18+P6</f>
        <v>1611639.5714791343</v>
      </c>
      <c r="N18" s="1014">
        <f>L18+S6</f>
        <v>402909.89286978357</v>
      </c>
    </row>
    <row r="19" spans="1:14" ht="33.75" customHeight="1">
      <c r="A19" s="937" t="s">
        <v>50</v>
      </c>
      <c r="B19" s="939"/>
      <c r="C19" s="1005">
        <f aca="true" t="shared" si="5" ref="C19:N19">SUM(C17:C18)</f>
        <v>976262</v>
      </c>
      <c r="D19" s="1182">
        <f t="shared" si="5"/>
        <v>0</v>
      </c>
      <c r="E19" s="1005">
        <f t="shared" si="5"/>
        <v>0</v>
      </c>
      <c r="F19" s="1005">
        <f t="shared" si="5"/>
        <v>-100000</v>
      </c>
      <c r="G19" s="1005">
        <f t="shared" si="5"/>
        <v>876262</v>
      </c>
      <c r="H19" s="1005">
        <f t="shared" si="5"/>
        <v>-2190.655</v>
      </c>
      <c r="I19" s="1008">
        <f t="shared" si="5"/>
        <v>874071.345</v>
      </c>
      <c r="J19" s="1005">
        <f t="shared" si="5"/>
        <v>0</v>
      </c>
      <c r="K19" s="1005">
        <f t="shared" si="5"/>
        <v>874071.345</v>
      </c>
      <c r="L19" s="1008">
        <f t="shared" si="5"/>
        <v>218517.83625</v>
      </c>
      <c r="M19" s="1015">
        <f t="shared" si="5"/>
        <v>2460598.420866269</v>
      </c>
      <c r="N19" s="1015">
        <f t="shared" si="5"/>
        <v>615149.6052165673</v>
      </c>
    </row>
    <row r="20" spans="1:14" ht="10.5" customHeight="1">
      <c r="A20" s="978"/>
      <c r="B20" s="980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</row>
    <row r="21" spans="1:14" ht="33.75" customHeight="1">
      <c r="A21" s="938" t="s">
        <v>729</v>
      </c>
      <c r="B21" s="934"/>
      <c r="C21" s="1012"/>
      <c r="D21" s="1012"/>
      <c r="E21" s="1012"/>
      <c r="F21" s="1012"/>
      <c r="G21" s="1012"/>
      <c r="H21" s="1012">
        <f>-H17</f>
        <v>1226.13</v>
      </c>
      <c r="I21" s="1007">
        <f>H21</f>
        <v>1226.13</v>
      </c>
      <c r="J21" s="1012"/>
      <c r="K21" s="1012">
        <f>I21-J21</f>
        <v>1226.13</v>
      </c>
      <c r="L21" s="1007">
        <v>0</v>
      </c>
      <c r="M21" s="1014"/>
      <c r="N21" s="1014"/>
    </row>
    <row r="22" spans="1:14" ht="33.75" customHeight="1">
      <c r="A22" s="938" t="s">
        <v>730</v>
      </c>
      <c r="B22" s="934"/>
      <c r="C22" s="1012"/>
      <c r="D22" s="1012"/>
      <c r="E22" s="1012"/>
      <c r="F22" s="1012"/>
      <c r="G22" s="1012"/>
      <c r="H22" s="1012">
        <f>-H18</f>
        <v>964.525</v>
      </c>
      <c r="I22" s="1007">
        <f>H22</f>
        <v>964.525</v>
      </c>
      <c r="J22" s="1012"/>
      <c r="K22" s="1012">
        <f>I22-J22</f>
        <v>964.525</v>
      </c>
      <c r="L22" s="1007">
        <f>K22/4</f>
        <v>241.13125</v>
      </c>
      <c r="M22" s="1014"/>
      <c r="N22" s="1014"/>
    </row>
    <row r="23" spans="1:14" ht="10.5" customHeight="1">
      <c r="A23" s="978"/>
      <c r="B23" s="980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</row>
    <row r="24" spans="1:14" ht="33.75" customHeight="1">
      <c r="A24" s="938" t="s">
        <v>81</v>
      </c>
      <c r="B24" s="981"/>
      <c r="C24" s="1013">
        <f>SUM(C19:C22)</f>
        <v>976262</v>
      </c>
      <c r="D24" s="1013"/>
      <c r="E24" s="1013"/>
      <c r="F24" s="1013">
        <f aca="true" t="shared" si="6" ref="F24:N24">SUM(F19:F22)</f>
        <v>-100000</v>
      </c>
      <c r="G24" s="1013">
        <f t="shared" si="6"/>
        <v>876262</v>
      </c>
      <c r="H24" s="1013">
        <f t="shared" si="6"/>
        <v>0</v>
      </c>
      <c r="I24" s="1009">
        <f t="shared" si="6"/>
        <v>876262</v>
      </c>
      <c r="J24" s="1013">
        <f t="shared" si="6"/>
        <v>0</v>
      </c>
      <c r="K24" s="1013">
        <f t="shared" si="6"/>
        <v>876262</v>
      </c>
      <c r="L24" s="1009">
        <f t="shared" si="6"/>
        <v>218758.9675</v>
      </c>
      <c r="M24" s="1016">
        <f t="shared" si="6"/>
        <v>2460598.420866269</v>
      </c>
      <c r="N24" s="1016">
        <f t="shared" si="6"/>
        <v>615149.6052165673</v>
      </c>
    </row>
    <row r="26" spans="1:2" ht="28.5" customHeight="1">
      <c r="A26" s="945"/>
      <c r="B26" s="945"/>
    </row>
    <row r="27" spans="1:2" ht="28.5" customHeight="1">
      <c r="A27" s="946"/>
      <c r="B27" s="946"/>
    </row>
  </sheetData>
  <sheetProtection/>
  <mergeCells count="31">
    <mergeCell ref="A2:A3"/>
    <mergeCell ref="C2:C3"/>
    <mergeCell ref="D2:D3"/>
    <mergeCell ref="D14:D15"/>
    <mergeCell ref="B2:B3"/>
    <mergeCell ref="A14:A15"/>
    <mergeCell ref="B14:B15"/>
    <mergeCell ref="C14:C15"/>
    <mergeCell ref="E2:E3"/>
    <mergeCell ref="E14:E15"/>
    <mergeCell ref="G14:G15"/>
    <mergeCell ref="S2:S3"/>
    <mergeCell ref="F2:G2"/>
    <mergeCell ref="H2:I2"/>
    <mergeCell ref="O2:O3"/>
    <mergeCell ref="P2:P3"/>
    <mergeCell ref="R2:R3"/>
    <mergeCell ref="M14:M15"/>
    <mergeCell ref="N2:N3"/>
    <mergeCell ref="Q2:Q3"/>
    <mergeCell ref="M2:M3"/>
    <mergeCell ref="I14:I15"/>
    <mergeCell ref="F14:F15"/>
    <mergeCell ref="L14:L15"/>
    <mergeCell ref="J2:J3"/>
    <mergeCell ref="H14:H15"/>
    <mergeCell ref="J14:J15"/>
    <mergeCell ref="N14:N15"/>
    <mergeCell ref="K14:K15"/>
    <mergeCell ref="L2:L3"/>
    <mergeCell ref="K2:K3"/>
  </mergeCells>
  <printOptions horizontalCentered="1"/>
  <pageMargins left="0.2" right="0.32" top="0.86" bottom="0.25" header="0.24" footer="0.25"/>
  <pageSetup firstPageNumber="25" useFirstPageNumber="1" horizontalDpi="600" verticalDpi="600" orientation="landscape" paperSize="5" scale="47" r:id="rId1"/>
  <headerFooter alignWithMargins="0">
    <oddHeader>&amp;L&amp;"Arial,Bold"&amp;20Table 5C: FY2009-2010 Budget Letter (March 2009 - Adjustment to February 1 Student Count) 
Type 2 Charter School Allocation (Schools Approved on or after July 1, 2008)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"/>
  <sheetViews>
    <sheetView zoomScale="60" zoomScaleNormal="60" zoomScalePageLayoutView="0" workbookViewId="0" topLeftCell="A16">
      <pane xSplit="1" topLeftCell="B1" activePane="topRight" state="frozen"/>
      <selection pane="topLeft" activeCell="A1" sqref="A1"/>
      <selection pane="topRight" activeCell="A29" sqref="A29:IV38"/>
    </sheetView>
  </sheetViews>
  <sheetFormatPr defaultColWidth="90.57421875" defaultRowHeight="12.75"/>
  <cols>
    <col min="1" max="1" width="51.421875" style="927" customWidth="1"/>
    <col min="2" max="4" width="15.28125" style="927" customWidth="1"/>
    <col min="5" max="8" width="17.28125" style="944" customWidth="1"/>
    <col min="9" max="9" width="15.28125" style="944" customWidth="1"/>
    <col min="10" max="18" width="15.28125" style="927" customWidth="1"/>
    <col min="19" max="16384" width="90.57421875" style="927" customWidth="1"/>
  </cols>
  <sheetData>
    <row r="2" spans="1:18" ht="39" customHeight="1">
      <c r="A2" s="1411" t="s">
        <v>907</v>
      </c>
      <c r="B2" s="1315" t="s">
        <v>874</v>
      </c>
      <c r="C2" s="1315" t="s">
        <v>78</v>
      </c>
      <c r="D2" s="1418" t="s">
        <v>53</v>
      </c>
      <c r="E2" s="1409" t="s">
        <v>73</v>
      </c>
      <c r="F2" s="1410"/>
      <c r="G2" s="1409" t="s">
        <v>55</v>
      </c>
      <c r="H2" s="1410"/>
      <c r="I2" s="1355" t="s">
        <v>844</v>
      </c>
      <c r="J2" s="1315" t="s">
        <v>857</v>
      </c>
      <c r="K2" s="1418" t="s">
        <v>54</v>
      </c>
      <c r="L2" s="1318" t="s">
        <v>735</v>
      </c>
      <c r="M2" s="1414" t="s">
        <v>830</v>
      </c>
      <c r="N2" s="1351" t="s">
        <v>72</v>
      </c>
      <c r="O2" s="1418" t="s">
        <v>836</v>
      </c>
      <c r="P2" s="1315" t="s">
        <v>858</v>
      </c>
      <c r="Q2" s="1315" t="s">
        <v>847</v>
      </c>
      <c r="R2" s="1315" t="s">
        <v>74</v>
      </c>
    </row>
    <row r="3" spans="1:18" ht="90" customHeight="1">
      <c r="A3" s="1411"/>
      <c r="B3" s="1317"/>
      <c r="C3" s="1317"/>
      <c r="D3" s="1419"/>
      <c r="E3" s="54" t="s">
        <v>79</v>
      </c>
      <c r="F3" s="54" t="s">
        <v>88</v>
      </c>
      <c r="G3" s="54" t="s">
        <v>56</v>
      </c>
      <c r="H3" s="54" t="s">
        <v>49</v>
      </c>
      <c r="I3" s="1356"/>
      <c r="J3" s="1317"/>
      <c r="K3" s="1419"/>
      <c r="L3" s="1320"/>
      <c r="M3" s="1415"/>
      <c r="N3" s="1366"/>
      <c r="O3" s="1419"/>
      <c r="P3" s="1317"/>
      <c r="Q3" s="1317"/>
      <c r="R3" s="1356"/>
    </row>
    <row r="4" spans="1:18" s="936" customFormat="1" ht="15.75">
      <c r="A4" s="1195"/>
      <c r="B4" s="1196">
        <v>1</v>
      </c>
      <c r="C4" s="1196">
        <f aca="true" t="shared" si="0" ref="C4:R4">B4+1</f>
        <v>2</v>
      </c>
      <c r="D4" s="1196">
        <f t="shared" si="0"/>
        <v>3</v>
      </c>
      <c r="E4" s="1196">
        <f t="shared" si="0"/>
        <v>4</v>
      </c>
      <c r="F4" s="1196">
        <f t="shared" si="0"/>
        <v>5</v>
      </c>
      <c r="G4" s="1196">
        <f t="shared" si="0"/>
        <v>6</v>
      </c>
      <c r="H4" s="1196">
        <f t="shared" si="0"/>
        <v>7</v>
      </c>
      <c r="I4" s="1196">
        <f t="shared" si="0"/>
        <v>8</v>
      </c>
      <c r="J4" s="1196">
        <f t="shared" si="0"/>
        <v>9</v>
      </c>
      <c r="K4" s="1196">
        <f t="shared" si="0"/>
        <v>10</v>
      </c>
      <c r="L4" s="1196">
        <f t="shared" si="0"/>
        <v>11</v>
      </c>
      <c r="M4" s="1232">
        <f t="shared" si="0"/>
        <v>12</v>
      </c>
      <c r="N4" s="1196">
        <f t="shared" si="0"/>
        <v>13</v>
      </c>
      <c r="O4" s="1196">
        <f t="shared" si="0"/>
        <v>14</v>
      </c>
      <c r="P4" s="1196">
        <f t="shared" si="0"/>
        <v>15</v>
      </c>
      <c r="Q4" s="1196">
        <f t="shared" si="0"/>
        <v>16</v>
      </c>
      <c r="R4" s="1196">
        <f t="shared" si="0"/>
        <v>17</v>
      </c>
    </row>
    <row r="5" spans="1:18" s="936" customFormat="1" ht="38.25" customHeight="1">
      <c r="A5" s="1201" t="s">
        <v>871</v>
      </c>
      <c r="B5" s="932">
        <v>88</v>
      </c>
      <c r="C5" s="933">
        <f>'Table 3 Levels 1&amp;2'!AL24</f>
        <v>3632.310699762789</v>
      </c>
      <c r="D5" s="933">
        <f>B5*C5</f>
        <v>319643.34157912544</v>
      </c>
      <c r="E5" s="935">
        <f>'Table 4 Level 3'!$W$22+'Table 4 Level 3'!$AA$22</f>
        <v>309.24</v>
      </c>
      <c r="F5" s="935">
        <f>E5*B5</f>
        <v>27213.120000000003</v>
      </c>
      <c r="G5" s="935">
        <f>'Table 5B2_RSD_LA'!$M$7</f>
        <v>113.10762416806803</v>
      </c>
      <c r="H5" s="933">
        <f>G5*B5</f>
        <v>9953.470926789987</v>
      </c>
      <c r="I5" s="935">
        <f>D5+F5+H5</f>
        <v>356809.9325059154</v>
      </c>
      <c r="J5" s="1225">
        <f>'[27]Feb 1 midyear adj'!$H$22</f>
        <v>0</v>
      </c>
      <c r="K5" s="1230">
        <f>I5+J5</f>
        <v>356809.9325059154</v>
      </c>
      <c r="L5" s="1183">
        <f>(B5/$B$9)*$L$9</f>
        <v>-11855.13043478261</v>
      </c>
      <c r="M5" s="1230">
        <f>K5+L5</f>
        <v>344954.8020711328</v>
      </c>
      <c r="N5" s="935">
        <f>-(0.25%*M5)</f>
        <v>-862.3870051778321</v>
      </c>
      <c r="O5" s="1230">
        <f>ROUND(M5+N5,0)</f>
        <v>344092</v>
      </c>
      <c r="P5" s="1225">
        <f>'[26]MFP'!$BU$88</f>
        <v>248898</v>
      </c>
      <c r="Q5" s="935">
        <f>O5-P5</f>
        <v>95194</v>
      </c>
      <c r="R5" s="935">
        <f>Q5/4</f>
        <v>23798.5</v>
      </c>
    </row>
    <row r="6" spans="1:18" s="936" customFormat="1" ht="38.25" customHeight="1">
      <c r="A6" s="938" t="s">
        <v>859</v>
      </c>
      <c r="B6" s="932">
        <v>1</v>
      </c>
      <c r="C6" s="933">
        <f>'Table 3 Levels 1&amp;2'!AL74</f>
        <v>5391.273907702829</v>
      </c>
      <c r="D6" s="933">
        <f>B6*C6</f>
        <v>5391.273907702829</v>
      </c>
      <c r="E6" s="935">
        <f>'Table 4 Level 3'!$W$72+'Table 4 Level 3'!$AA$72</f>
        <v>262.98</v>
      </c>
      <c r="F6" s="935">
        <f>E6*B6</f>
        <v>262.98</v>
      </c>
      <c r="G6" s="935">
        <f>'Table 4 Level 3'!$AE72</f>
        <v>94.62</v>
      </c>
      <c r="H6" s="933">
        <f>G6*B6</f>
        <v>94.62</v>
      </c>
      <c r="I6" s="935">
        <f>D6+F6+H6</f>
        <v>5748.873907702829</v>
      </c>
      <c r="J6" s="1225">
        <f>'[27]Feb 1 midyear adj'!$H$22</f>
        <v>0</v>
      </c>
      <c r="K6" s="1230">
        <f>I6+J6</f>
        <v>5748.873907702829</v>
      </c>
      <c r="L6" s="1183">
        <f>(B6/$B$9)*$L$9</f>
        <v>-134.7173913043478</v>
      </c>
      <c r="M6" s="1230">
        <f>K6+L6</f>
        <v>5614.156516398481</v>
      </c>
      <c r="N6" s="935">
        <f>-(0.25%*M6)</f>
        <v>-14.035391290996202</v>
      </c>
      <c r="O6" s="1230">
        <f>ROUND(M6+N6,0)</f>
        <v>5600</v>
      </c>
      <c r="P6" s="1225">
        <v>0</v>
      </c>
      <c r="Q6" s="935">
        <f>O6-P6</f>
        <v>5600</v>
      </c>
      <c r="R6" s="935">
        <f>Q6/4</f>
        <v>1400</v>
      </c>
    </row>
    <row r="7" spans="1:18" s="936" customFormat="1" ht="38.25" customHeight="1">
      <c r="A7" s="938" t="s">
        <v>860</v>
      </c>
      <c r="B7" s="932">
        <v>2</v>
      </c>
      <c r="C7" s="933">
        <f>'Table 3 Levels 1&amp;2'!AL75</f>
        <v>6470.310196905727</v>
      </c>
      <c r="D7" s="933">
        <f>B7*C7</f>
        <v>12940.620393811454</v>
      </c>
      <c r="E7" s="935">
        <f>'Table 4 Level 3'!$W$73+'Table 4 Level 3'!$AA$73</f>
        <v>309.47</v>
      </c>
      <c r="F7" s="935">
        <f>E7*B7</f>
        <v>618.94</v>
      </c>
      <c r="G7" s="935">
        <f>'Table 4 Level 3'!$AE73</f>
        <v>100.32</v>
      </c>
      <c r="H7" s="933">
        <f>G7*B7</f>
        <v>200.64</v>
      </c>
      <c r="I7" s="935">
        <f>D7+F7+H7</f>
        <v>13760.200393811454</v>
      </c>
      <c r="J7" s="1225">
        <f>'[27]Feb 1 midyear adj'!$H$22</f>
        <v>0</v>
      </c>
      <c r="K7" s="1230">
        <f>I7+J7</f>
        <v>13760.200393811454</v>
      </c>
      <c r="L7" s="1183">
        <f>(B7/$B$9)*$L$9</f>
        <v>-269.4347826086956</v>
      </c>
      <c r="M7" s="1230">
        <f>K7+L7</f>
        <v>13490.765611202758</v>
      </c>
      <c r="N7" s="935">
        <f>-(0.25%*M7)</f>
        <v>-33.726914028006895</v>
      </c>
      <c r="O7" s="1230">
        <f>ROUND(M7+N7,0)</f>
        <v>13457</v>
      </c>
      <c r="P7" s="1225">
        <v>0</v>
      </c>
      <c r="Q7" s="935">
        <f>O7-P7</f>
        <v>13457</v>
      </c>
      <c r="R7" s="935">
        <f>Q7/4</f>
        <v>3364.25</v>
      </c>
    </row>
    <row r="8" spans="1:18" s="936" customFormat="1" ht="38.25" customHeight="1">
      <c r="A8" s="938" t="s">
        <v>861</v>
      </c>
      <c r="B8" s="932">
        <v>1</v>
      </c>
      <c r="C8" s="933">
        <f>'Table 3 Levels 1&amp;2'!AL76</f>
        <v>5076.308975900509</v>
      </c>
      <c r="D8" s="933">
        <f>B8*C8</f>
        <v>5076.308975900509</v>
      </c>
      <c r="E8" s="935">
        <f>'Table 4 Level 3'!$W$74+'Table 4 Level 3'!$AA$74</f>
        <v>232.04000000000002</v>
      </c>
      <c r="F8" s="935">
        <f>E8*B8</f>
        <v>232.04000000000002</v>
      </c>
      <c r="G8" s="935">
        <f>'Table 4 Level 3'!$AE74</f>
        <v>94.5</v>
      </c>
      <c r="H8" s="933">
        <f>G8*B8</f>
        <v>94.5</v>
      </c>
      <c r="I8" s="935">
        <f>D8+F8+H8</f>
        <v>5402.848975900509</v>
      </c>
      <c r="J8" s="1225">
        <f>'[27]Feb 1 midyear adj'!$H$22</f>
        <v>0</v>
      </c>
      <c r="K8" s="1230">
        <f>I8+J8</f>
        <v>5402.848975900509</v>
      </c>
      <c r="L8" s="1183">
        <f>(B8/$B$9)*$L$9</f>
        <v>-134.7173913043478</v>
      </c>
      <c r="M8" s="1230">
        <f>K8+L8</f>
        <v>5268.131584596161</v>
      </c>
      <c r="N8" s="935">
        <f>-(0.25%*M8)</f>
        <v>-13.170328961490402</v>
      </c>
      <c r="O8" s="1230">
        <f>ROUND(M8+N8,0)</f>
        <v>5255</v>
      </c>
      <c r="P8" s="1225">
        <v>0</v>
      </c>
      <c r="Q8" s="935">
        <f>O8-P8</f>
        <v>5255</v>
      </c>
      <c r="R8" s="935">
        <f>Q8/4</f>
        <v>1313.75</v>
      </c>
    </row>
    <row r="9" spans="1:18" s="1198" customFormat="1" ht="48.75" customHeight="1">
      <c r="A9" s="1197" t="s">
        <v>862</v>
      </c>
      <c r="B9" s="1182">
        <f>SUM(B5:B8)</f>
        <v>92</v>
      </c>
      <c r="C9" s="939"/>
      <c r="D9" s="939">
        <f>SUM(D5:D8)</f>
        <v>343051.5448565402</v>
      </c>
      <c r="E9" s="1005"/>
      <c r="F9" s="1005">
        <f>SUM(F5:F8)</f>
        <v>28327.08</v>
      </c>
      <c r="G9" s="1005"/>
      <c r="H9" s="939">
        <f>SUM(H5:H8)</f>
        <v>10343.230926789987</v>
      </c>
      <c r="I9" s="1005">
        <f>SUM(I5:I8)</f>
        <v>381721.85578333016</v>
      </c>
      <c r="J9" s="1226">
        <f>SUM(J5:J8)</f>
        <v>0</v>
      </c>
      <c r="K9" s="1231">
        <f>SUM(K5:K8)</f>
        <v>381721.85578333016</v>
      </c>
      <c r="L9" s="1184">
        <f>-'[22]FY2009-10 MFP SFSF Funds'!$D$78</f>
        <v>-12394</v>
      </c>
      <c r="M9" s="1231">
        <f>SUM(M5:M8)</f>
        <v>369327.8557833302</v>
      </c>
      <c r="N9" s="1005">
        <f>SUM(N5:N8)</f>
        <v>-923.3196394583257</v>
      </c>
      <c r="O9" s="1231">
        <f>SUM(O5:O8)</f>
        <v>368404</v>
      </c>
      <c r="P9" s="1226">
        <f>SUM(P5:P8)</f>
        <v>248898</v>
      </c>
      <c r="Q9" s="1005">
        <f>SUM(Q5:Q8)</f>
        <v>119506</v>
      </c>
      <c r="R9" s="1005">
        <f>Q9/4</f>
        <v>29876.5</v>
      </c>
    </row>
    <row r="10" spans="1:18" s="936" customFormat="1" ht="13.5" customHeight="1">
      <c r="A10" s="978"/>
      <c r="B10" s="1188"/>
      <c r="C10" s="979"/>
      <c r="D10" s="980"/>
      <c r="E10" s="980"/>
      <c r="F10" s="980"/>
      <c r="G10" s="980"/>
      <c r="H10" s="980"/>
      <c r="I10" s="980"/>
      <c r="J10" s="980"/>
      <c r="K10" s="980"/>
      <c r="L10" s="980"/>
      <c r="M10" s="1185"/>
      <c r="N10" s="980"/>
      <c r="O10" s="980"/>
      <c r="P10" s="980"/>
      <c r="Q10" s="980"/>
      <c r="R10" s="980"/>
    </row>
    <row r="11" spans="1:18" s="936" customFormat="1" ht="38.25" customHeight="1">
      <c r="A11" s="938" t="s">
        <v>728</v>
      </c>
      <c r="B11" s="1186"/>
      <c r="C11" s="1237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935">
        <f>-N9</f>
        <v>923.3196394583257</v>
      </c>
      <c r="O11" s="935">
        <f>N11</f>
        <v>923.3196394583257</v>
      </c>
      <c r="P11" s="935">
        <f>1014-112</f>
        <v>902</v>
      </c>
      <c r="Q11" s="1225">
        <f>O11-P11</f>
        <v>21.319639458325696</v>
      </c>
      <c r="R11" s="935">
        <f>Q11</f>
        <v>21.319639458325696</v>
      </c>
    </row>
    <row r="12" spans="1:18" s="936" customFormat="1" ht="13.5" customHeight="1">
      <c r="A12" s="978"/>
      <c r="B12" s="1188"/>
      <c r="C12" s="1248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980"/>
      <c r="O12" s="980"/>
      <c r="P12" s="980"/>
      <c r="Q12" s="980"/>
      <c r="R12" s="980"/>
    </row>
    <row r="13" spans="1:18" s="1006" customFormat="1" ht="38.25" customHeight="1">
      <c r="A13" s="938" t="s">
        <v>863</v>
      </c>
      <c r="B13" s="1186">
        <f>SUM(B10:B11)</f>
        <v>0</v>
      </c>
      <c r="C13" s="1237"/>
      <c r="D13" s="1183"/>
      <c r="E13" s="1183"/>
      <c r="F13" s="1184"/>
      <c r="G13" s="1184"/>
      <c r="H13" s="1184"/>
      <c r="I13" s="1184"/>
      <c r="J13" s="1184"/>
      <c r="K13" s="1184"/>
      <c r="L13" s="1184"/>
      <c r="M13" s="1184"/>
      <c r="N13" s="1005">
        <f>N9+N11</f>
        <v>0</v>
      </c>
      <c r="O13" s="1005">
        <f>O9+O11</f>
        <v>369327.3196394583</v>
      </c>
      <c r="P13" s="1005">
        <f>P9+P11</f>
        <v>249800</v>
      </c>
      <c r="Q13" s="1005">
        <f>Q9+Q11</f>
        <v>119527.31963945832</v>
      </c>
      <c r="R13" s="1005">
        <f>R9+R11</f>
        <v>29897.819639458325</v>
      </c>
    </row>
    <row r="14" spans="1:18" ht="12.75">
      <c r="A14" s="940"/>
      <c r="B14" s="940"/>
      <c r="C14" s="941"/>
      <c r="D14" s="942"/>
      <c r="E14" s="941"/>
      <c r="F14" s="941"/>
      <c r="G14" s="941"/>
      <c r="H14" s="941"/>
      <c r="I14" s="941"/>
      <c r="J14" s="944"/>
      <c r="K14" s="944"/>
      <c r="L14" s="944"/>
      <c r="M14" s="944"/>
      <c r="N14" s="944"/>
      <c r="O14" s="944"/>
      <c r="P14" s="944"/>
      <c r="Q14" s="944"/>
      <c r="R14" s="944"/>
    </row>
    <row r="15" spans="3:18" ht="12.75">
      <c r="C15" s="941"/>
      <c r="D15" s="942"/>
      <c r="E15" s="941"/>
      <c r="F15" s="941"/>
      <c r="G15" s="943"/>
      <c r="H15" s="943"/>
      <c r="I15" s="943"/>
      <c r="J15" s="944"/>
      <c r="K15" s="944"/>
      <c r="L15" s="944"/>
      <c r="M15" s="944"/>
      <c r="N15" s="944"/>
      <c r="O15" s="944"/>
      <c r="P15" s="944"/>
      <c r="Q15" s="944"/>
      <c r="R15" s="944"/>
    </row>
    <row r="16" spans="1:18" ht="44.25" customHeight="1">
      <c r="A16" s="1411" t="s">
        <v>48</v>
      </c>
      <c r="B16" s="1391" t="s">
        <v>874</v>
      </c>
      <c r="C16" s="1391" t="s">
        <v>919</v>
      </c>
      <c r="D16" s="1391" t="s">
        <v>76</v>
      </c>
      <c r="E16" s="1391" t="s">
        <v>864</v>
      </c>
      <c r="F16" s="1416" t="s">
        <v>865</v>
      </c>
      <c r="G16" s="1391" t="s">
        <v>71</v>
      </c>
      <c r="H16" s="1391" t="s">
        <v>866</v>
      </c>
      <c r="I16" s="1391" t="s">
        <v>867</v>
      </c>
      <c r="J16" s="1391" t="s">
        <v>847</v>
      </c>
      <c r="K16" s="1391" t="s">
        <v>75</v>
      </c>
      <c r="L16" s="1405" t="s">
        <v>62</v>
      </c>
      <c r="M16" s="1405" t="s">
        <v>63</v>
      </c>
      <c r="O16" s="1199"/>
      <c r="P16" s="1199"/>
      <c r="Q16" s="1199"/>
      <c r="R16" s="1199"/>
    </row>
    <row r="17" spans="1:18" ht="78.75" customHeight="1">
      <c r="A17" s="1411"/>
      <c r="B17" s="1392"/>
      <c r="C17" s="1392"/>
      <c r="D17" s="1392"/>
      <c r="E17" s="1392"/>
      <c r="F17" s="1417"/>
      <c r="G17" s="1392"/>
      <c r="H17" s="1392"/>
      <c r="I17" s="1392"/>
      <c r="J17" s="1392"/>
      <c r="K17" s="1392"/>
      <c r="L17" s="1406"/>
      <c r="M17" s="1406"/>
      <c r="O17" s="1199"/>
      <c r="P17" s="1199"/>
      <c r="Q17" s="1199"/>
      <c r="R17" s="1199"/>
    </row>
    <row r="18" spans="1:18" ht="15.75">
      <c r="A18" s="1200"/>
      <c r="B18" s="1196">
        <f>R4+1</f>
        <v>18</v>
      </c>
      <c r="C18" s="1196">
        <f>B18+1</f>
        <v>19</v>
      </c>
      <c r="D18" s="1196">
        <f aca="true" t="shared" si="1" ref="D18:M18">C18+1</f>
        <v>20</v>
      </c>
      <c r="E18" s="1196">
        <f t="shared" si="1"/>
        <v>21</v>
      </c>
      <c r="F18" s="1196">
        <f t="shared" si="1"/>
        <v>22</v>
      </c>
      <c r="G18" s="1196">
        <f t="shared" si="1"/>
        <v>23</v>
      </c>
      <c r="H18" s="1196">
        <f t="shared" si="1"/>
        <v>24</v>
      </c>
      <c r="I18" s="1196">
        <f t="shared" si="1"/>
        <v>25</v>
      </c>
      <c r="J18" s="1196">
        <f t="shared" si="1"/>
        <v>26</v>
      </c>
      <c r="K18" s="1196">
        <f t="shared" si="1"/>
        <v>27</v>
      </c>
      <c r="L18" s="1196">
        <f t="shared" si="1"/>
        <v>28</v>
      </c>
      <c r="M18" s="1196">
        <f t="shared" si="1"/>
        <v>29</v>
      </c>
      <c r="O18" s="1199"/>
      <c r="P18" s="1199"/>
      <c r="Q18" s="1199"/>
      <c r="R18" s="1199"/>
    </row>
    <row r="19" spans="1:18" s="936" customFormat="1" ht="38.25" customHeight="1">
      <c r="A19" s="1201" t="s">
        <v>871</v>
      </c>
      <c r="B19" s="932">
        <f>B5</f>
        <v>88</v>
      </c>
      <c r="C19" s="1228">
        <f>'[23]FY2009-10 FINAL'!$C$23</f>
        <v>5626</v>
      </c>
      <c r="D19" s="935">
        <f>C19*B19</f>
        <v>495088</v>
      </c>
      <c r="E19" s="1225">
        <f>'[27]Feb 1 midyear adj'!$H$22</f>
        <v>0</v>
      </c>
      <c r="F19" s="1233">
        <f>D19+E19</f>
        <v>495088</v>
      </c>
      <c r="G19" s="935">
        <f>-(0.25%*F19)</f>
        <v>-1237.72</v>
      </c>
      <c r="H19" s="1203">
        <f>ROUND(F19+G19,0)</f>
        <v>493850</v>
      </c>
      <c r="I19" s="1225">
        <f>'[26]MFP'!$BW$88</f>
        <v>336281</v>
      </c>
      <c r="J19" s="935">
        <f>H19-I19</f>
        <v>157569</v>
      </c>
      <c r="K19" s="935">
        <f>J19/4</f>
        <v>39392.25</v>
      </c>
      <c r="L19" s="1183">
        <f>H19+O5</f>
        <v>837942</v>
      </c>
      <c r="M19" s="1183">
        <f>K19+R5</f>
        <v>63190.75</v>
      </c>
      <c r="O19" s="1202"/>
      <c r="P19" s="1202"/>
      <c r="Q19" s="1202"/>
      <c r="R19" s="1202"/>
    </row>
    <row r="20" spans="1:18" s="936" customFormat="1" ht="38.25" customHeight="1">
      <c r="A20" s="1201" t="s">
        <v>868</v>
      </c>
      <c r="B20" s="932">
        <f>B6</f>
        <v>1</v>
      </c>
      <c r="C20" s="1228">
        <f>'[23]FY2009-10 FINAL'!$C$73</f>
        <v>3472</v>
      </c>
      <c r="D20" s="935">
        <f>C20*B20</f>
        <v>3472</v>
      </c>
      <c r="E20" s="1225">
        <f>'[27]Feb 1 midyear adj'!$H$22</f>
        <v>0</v>
      </c>
      <c r="F20" s="1233">
        <f>D20+E20</f>
        <v>3472</v>
      </c>
      <c r="G20" s="935">
        <f>-(0.25%*F20)</f>
        <v>-8.68</v>
      </c>
      <c r="H20" s="1203">
        <f>ROUND(F20+G20,0)</f>
        <v>3463</v>
      </c>
      <c r="I20" s="1225">
        <v>0</v>
      </c>
      <c r="J20" s="935">
        <f>H20-I20</f>
        <v>3463</v>
      </c>
      <c r="K20" s="935">
        <f>J20/4</f>
        <v>865.75</v>
      </c>
      <c r="L20" s="1183">
        <f>H20+O6</f>
        <v>9063</v>
      </c>
      <c r="M20" s="1183">
        <f>K20+R6</f>
        <v>2265.75</v>
      </c>
      <c r="O20" s="1202"/>
      <c r="P20" s="1202"/>
      <c r="Q20" s="1202"/>
      <c r="R20" s="1202"/>
    </row>
    <row r="21" spans="1:18" s="936" customFormat="1" ht="38.25" customHeight="1">
      <c r="A21" s="1201" t="s">
        <v>869</v>
      </c>
      <c r="B21" s="932">
        <f>B7</f>
        <v>2</v>
      </c>
      <c r="C21" s="1228">
        <f>'[23]FY2009-10 FINAL'!$E$74</f>
        <v>3334.2</v>
      </c>
      <c r="D21" s="935">
        <f>C21*B21</f>
        <v>6668.4</v>
      </c>
      <c r="E21" s="1225">
        <f>'[27]Feb 1 midyear adj'!$H$22</f>
        <v>0</v>
      </c>
      <c r="F21" s="1233">
        <f>D21+E21</f>
        <v>6668.4</v>
      </c>
      <c r="G21" s="935">
        <f>-(0.25%*F21)</f>
        <v>-16.671</v>
      </c>
      <c r="H21" s="1203">
        <f>ROUND(F21+G21,0)</f>
        <v>6652</v>
      </c>
      <c r="I21" s="1225">
        <v>0</v>
      </c>
      <c r="J21" s="935">
        <f>H21-I21</f>
        <v>6652</v>
      </c>
      <c r="K21" s="935">
        <f>J21/4</f>
        <v>1663</v>
      </c>
      <c r="L21" s="1183">
        <f>H21+O7</f>
        <v>20109</v>
      </c>
      <c r="M21" s="1183">
        <f>K21+R7</f>
        <v>5027.25</v>
      </c>
      <c r="O21" s="1202"/>
      <c r="P21" s="1202"/>
      <c r="Q21" s="1202"/>
      <c r="R21" s="1202"/>
    </row>
    <row r="22" spans="1:18" s="936" customFormat="1" ht="38.25" customHeight="1">
      <c r="A22" s="1201" t="s">
        <v>870</v>
      </c>
      <c r="B22" s="932">
        <f>B8</f>
        <v>1</v>
      </c>
      <c r="C22" s="1228">
        <f>'[23]FY2009-10 FINAL'!$C$75</f>
        <v>2979</v>
      </c>
      <c r="D22" s="935">
        <f>C22*B22</f>
        <v>2979</v>
      </c>
      <c r="E22" s="1225">
        <f>'[27]Feb 1 midyear adj'!$H$22</f>
        <v>0</v>
      </c>
      <c r="F22" s="1233">
        <f>D22+E22</f>
        <v>2979</v>
      </c>
      <c r="G22" s="935">
        <f>-(0.25%*F22)</f>
        <v>-7.4475</v>
      </c>
      <c r="H22" s="1203">
        <f>ROUND(F22+G22,0)</f>
        <v>2972</v>
      </c>
      <c r="I22" s="1225">
        <v>0</v>
      </c>
      <c r="J22" s="935">
        <f>H22-I22</f>
        <v>2972</v>
      </c>
      <c r="K22" s="935">
        <f>J22/4</f>
        <v>743</v>
      </c>
      <c r="L22" s="1183">
        <f>H22+O8</f>
        <v>8227</v>
      </c>
      <c r="M22" s="1183">
        <f>K22+R8</f>
        <v>2056.75</v>
      </c>
      <c r="O22" s="1202"/>
      <c r="P22" s="1202"/>
      <c r="Q22" s="1202"/>
      <c r="R22" s="1202"/>
    </row>
    <row r="23" spans="1:18" s="936" customFormat="1" ht="54" customHeight="1">
      <c r="A23" s="1197" t="s">
        <v>862</v>
      </c>
      <c r="B23" s="1182">
        <f>SUM(B19:B22)</f>
        <v>92</v>
      </c>
      <c r="C23" s="1228"/>
      <c r="D23" s="935">
        <f aca="true" t="shared" si="2" ref="D23:M23">SUM(D19:D22)</f>
        <v>508207.4</v>
      </c>
      <c r="E23" s="1225">
        <f t="shared" si="2"/>
        <v>0</v>
      </c>
      <c r="F23" s="1233">
        <f t="shared" si="2"/>
        <v>508207.4</v>
      </c>
      <c r="G23" s="935">
        <f t="shared" si="2"/>
        <v>-1270.5185000000001</v>
      </c>
      <c r="H23" s="1203">
        <f t="shared" si="2"/>
        <v>506937</v>
      </c>
      <c r="I23" s="1225">
        <f t="shared" si="2"/>
        <v>336281</v>
      </c>
      <c r="J23" s="935">
        <f t="shared" si="2"/>
        <v>170656</v>
      </c>
      <c r="K23" s="935">
        <f t="shared" si="2"/>
        <v>42664</v>
      </c>
      <c r="L23" s="1183">
        <f t="shared" si="2"/>
        <v>875341</v>
      </c>
      <c r="M23" s="1183">
        <f t="shared" si="2"/>
        <v>72540.5</v>
      </c>
      <c r="O23" s="1202"/>
      <c r="P23" s="1202"/>
      <c r="Q23" s="1202"/>
      <c r="R23" s="1202"/>
    </row>
    <row r="24" spans="1:18" ht="13.5" customHeight="1">
      <c r="A24" s="978"/>
      <c r="B24" s="1188"/>
      <c r="C24" s="980"/>
      <c r="D24" s="980"/>
      <c r="E24" s="980"/>
      <c r="F24" s="980"/>
      <c r="G24" s="980"/>
      <c r="H24" s="980"/>
      <c r="I24" s="1227"/>
      <c r="J24" s="980"/>
      <c r="K24" s="980"/>
      <c r="L24" s="980"/>
      <c r="M24" s="980"/>
      <c r="O24" s="1199"/>
      <c r="P24" s="1199"/>
      <c r="Q24" s="1199"/>
      <c r="R24" s="1199"/>
    </row>
    <row r="25" spans="1:18" ht="38.25" customHeight="1">
      <c r="A25" s="938" t="s">
        <v>729</v>
      </c>
      <c r="B25" s="1186"/>
      <c r="C25" s="1238"/>
      <c r="D25" s="1238"/>
      <c r="E25" s="1238"/>
      <c r="F25" s="1238"/>
      <c r="G25" s="1012">
        <f>-G23</f>
        <v>1270.5185000000001</v>
      </c>
      <c r="H25" s="1012">
        <f>G25</f>
        <v>1270.5185000000001</v>
      </c>
      <c r="I25" s="1228">
        <f>1333-107</f>
        <v>1226</v>
      </c>
      <c r="J25" s="1012">
        <f>H25-I25</f>
        <v>44.51850000000013</v>
      </c>
      <c r="K25" s="1012">
        <f>J25</f>
        <v>44.51850000000013</v>
      </c>
      <c r="L25" s="1014">
        <f>K25+R11</f>
        <v>65.83813945832583</v>
      </c>
      <c r="M25" s="1014">
        <f>L25</f>
        <v>65.83813945832583</v>
      </c>
      <c r="O25" s="1199"/>
      <c r="P25" s="1199"/>
      <c r="Q25" s="1199"/>
      <c r="R25" s="1199"/>
    </row>
    <row r="26" spans="1:18" ht="13.5" customHeight="1">
      <c r="A26" s="978"/>
      <c r="B26" s="1247"/>
      <c r="C26" s="1185"/>
      <c r="D26" s="1185"/>
      <c r="E26" s="1185"/>
      <c r="F26" s="1185"/>
      <c r="G26" s="980"/>
      <c r="H26" s="980"/>
      <c r="I26" s="980"/>
      <c r="J26" s="980"/>
      <c r="K26" s="980"/>
      <c r="L26" s="980"/>
      <c r="M26" s="980"/>
      <c r="O26" s="1199"/>
      <c r="P26" s="1199"/>
      <c r="Q26" s="1199"/>
      <c r="R26" s="1199"/>
    </row>
    <row r="27" spans="1:18" ht="38.25" customHeight="1">
      <c r="A27" s="938" t="s">
        <v>863</v>
      </c>
      <c r="B27" s="1186"/>
      <c r="C27" s="1239"/>
      <c r="D27" s="1239"/>
      <c r="E27" s="1239"/>
      <c r="F27" s="1239"/>
      <c r="G27" s="1013">
        <f>G25+G23</f>
        <v>0</v>
      </c>
      <c r="H27" s="1013">
        <f>H25+H23</f>
        <v>508207.5185</v>
      </c>
      <c r="I27" s="1013">
        <f>I25+I23</f>
        <v>337507</v>
      </c>
      <c r="J27" s="1013"/>
      <c r="K27" s="1013"/>
      <c r="L27" s="1016"/>
      <c r="M27" s="1016"/>
      <c r="O27" s="1199"/>
      <c r="P27" s="1199"/>
      <c r="Q27" s="1199"/>
      <c r="R27" s="1199"/>
    </row>
    <row r="29" spans="1:2" ht="12.75" hidden="1">
      <c r="A29" s="945"/>
      <c r="B29" s="945"/>
    </row>
    <row r="30" spans="1:14" ht="12.75" hidden="1">
      <c r="A30" s="946"/>
      <c r="B30" s="946"/>
      <c r="H30" s="1259"/>
      <c r="I30" s="1260"/>
      <c r="J30" s="1261"/>
      <c r="K30" s="1262"/>
      <c r="L30" s="1261"/>
      <c r="M30" s="1261"/>
      <c r="N30" s="1262"/>
    </row>
    <row r="31" spans="8:14" ht="12.75" hidden="1">
      <c r="H31" s="1263"/>
      <c r="J31" s="944"/>
      <c r="K31" s="1240"/>
      <c r="L31" s="944"/>
      <c r="M31" s="944"/>
      <c r="N31" s="1240"/>
    </row>
    <row r="32" spans="8:14" ht="12.75" hidden="1">
      <c r="H32" s="1263"/>
      <c r="K32" s="1240"/>
      <c r="L32" s="944"/>
      <c r="N32" s="1240"/>
    </row>
    <row r="33" spans="8:14" ht="12.75" hidden="1">
      <c r="H33" s="1263"/>
      <c r="K33" s="1240"/>
      <c r="L33" s="944"/>
      <c r="N33" s="1240"/>
    </row>
    <row r="34" spans="8:14" ht="12.75" hidden="1">
      <c r="H34" s="1263"/>
      <c r="K34" s="1241"/>
      <c r="L34" s="944"/>
      <c r="N34" s="1241"/>
    </row>
    <row r="35" spans="8:14" ht="12.75" hidden="1">
      <c r="H35" s="1255"/>
      <c r="K35" s="1240"/>
      <c r="N35" s="1240"/>
    </row>
    <row r="36" spans="8:14" ht="12.75" hidden="1">
      <c r="H36" s="1264"/>
      <c r="I36" s="1242"/>
      <c r="J36" s="1257"/>
      <c r="K36" s="1258"/>
      <c r="L36" s="1257"/>
      <c r="M36" s="1257"/>
      <c r="N36" s="1258"/>
    </row>
    <row r="37" ht="12.75" hidden="1"/>
    <row r="38" ht="12.75" hidden="1"/>
  </sheetData>
  <sheetProtection/>
  <mergeCells count="29">
    <mergeCell ref="A2:A3"/>
    <mergeCell ref="B2:B3"/>
    <mergeCell ref="C2:C3"/>
    <mergeCell ref="D2:D3"/>
    <mergeCell ref="E2:F2"/>
    <mergeCell ref="O2:O3"/>
    <mergeCell ref="G2:H2"/>
    <mergeCell ref="J2:J3"/>
    <mergeCell ref="K2:K3"/>
    <mergeCell ref="L2:L3"/>
    <mergeCell ref="P2:P3"/>
    <mergeCell ref="M2:M3"/>
    <mergeCell ref="N2:N3"/>
    <mergeCell ref="Q2:Q3"/>
    <mergeCell ref="R2:R3"/>
    <mergeCell ref="A16:A17"/>
    <mergeCell ref="C16:C17"/>
    <mergeCell ref="D16:D17"/>
    <mergeCell ref="E16:E17"/>
    <mergeCell ref="F16:F17"/>
    <mergeCell ref="I2:I3"/>
    <mergeCell ref="M16:M17"/>
    <mergeCell ref="L16:L17"/>
    <mergeCell ref="B16:B17"/>
    <mergeCell ref="G16:G17"/>
    <mergeCell ref="H16:H17"/>
    <mergeCell ref="I16:I17"/>
    <mergeCell ref="J16:J17"/>
    <mergeCell ref="K16:K17"/>
  </mergeCells>
  <printOptions/>
  <pageMargins left="0.7" right="0.7" top="0.75" bottom="0.75" header="0.3" footer="0.3"/>
  <pageSetup fitToHeight="1" fitToWidth="1" horizontalDpi="600" verticalDpi="600" orientation="landscape" paperSize="5" scale="49" r:id="rId1"/>
  <headerFooter>
    <oddHeader>&amp;L&amp;"Arial,Bold"&amp;20Table 5C-1: FY2009-2010 Budget Letter (March 2010)
Type 2 Charter School Allocation (Madison Prepatory Academy)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zoomScale="70" zoomScaleNormal="70" zoomScalePageLayoutView="0" workbookViewId="0" topLeftCell="A22">
      <pane xSplit="1" topLeftCell="B1" activePane="topRight" state="frozen"/>
      <selection pane="topLeft" activeCell="A1" sqref="A1"/>
      <selection pane="topRight" activeCell="A27" sqref="A27:IV40"/>
    </sheetView>
  </sheetViews>
  <sheetFormatPr defaultColWidth="90.57421875" defaultRowHeight="12.75"/>
  <cols>
    <col min="1" max="1" width="37.421875" style="927" customWidth="1"/>
    <col min="2" max="4" width="15.28125" style="927" customWidth="1"/>
    <col min="5" max="5" width="15.28125" style="944" customWidth="1"/>
    <col min="6" max="8" width="15.421875" style="944" customWidth="1"/>
    <col min="9" max="9" width="15.28125" style="944" customWidth="1"/>
    <col min="10" max="11" width="15.28125" style="927" customWidth="1"/>
    <col min="12" max="12" width="13.421875" style="927" customWidth="1"/>
    <col min="13" max="13" width="13.8515625" style="927" customWidth="1"/>
    <col min="14" max="14" width="15.28125" style="927" customWidth="1"/>
    <col min="15" max="15" width="14.00390625" style="927" bestFit="1" customWidth="1"/>
    <col min="16" max="16" width="15.421875" style="927" customWidth="1"/>
    <col min="17" max="17" width="13.7109375" style="927" customWidth="1"/>
    <col min="18" max="18" width="15.28125" style="927" customWidth="1"/>
    <col min="19" max="19" width="16.00390625" style="927" customWidth="1"/>
    <col min="20" max="16384" width="90.57421875" style="927" customWidth="1"/>
  </cols>
  <sheetData>
    <row r="2" spans="1:19" ht="39" customHeight="1">
      <c r="A2" s="1411" t="s">
        <v>906</v>
      </c>
      <c r="B2" s="1315" t="s">
        <v>874</v>
      </c>
      <c r="C2" s="1315" t="s">
        <v>78</v>
      </c>
      <c r="D2" s="1371" t="s">
        <v>53</v>
      </c>
      <c r="E2" s="1409" t="s">
        <v>73</v>
      </c>
      <c r="F2" s="1410"/>
      <c r="G2" s="1409" t="s">
        <v>55</v>
      </c>
      <c r="H2" s="1410"/>
      <c r="I2" s="1418" t="s">
        <v>844</v>
      </c>
      <c r="J2" s="1318" t="s">
        <v>735</v>
      </c>
      <c r="K2" s="1414" t="s">
        <v>913</v>
      </c>
      <c r="L2" s="1351" t="s">
        <v>72</v>
      </c>
      <c r="M2" s="1420" t="s">
        <v>915</v>
      </c>
      <c r="N2" s="1421"/>
      <c r="O2" s="1422"/>
      <c r="P2" s="1418" t="s">
        <v>909</v>
      </c>
      <c r="Q2" s="1315" t="s">
        <v>858</v>
      </c>
      <c r="R2" s="1315" t="s">
        <v>914</v>
      </c>
      <c r="S2" s="1315" t="s">
        <v>74</v>
      </c>
    </row>
    <row r="3" spans="1:19" ht="98.25" customHeight="1">
      <c r="A3" s="1411"/>
      <c r="B3" s="1317"/>
      <c r="C3" s="1317"/>
      <c r="D3" s="1372"/>
      <c r="E3" s="54" t="s">
        <v>79</v>
      </c>
      <c r="F3" s="54" t="s">
        <v>88</v>
      </c>
      <c r="G3" s="54" t="s">
        <v>56</v>
      </c>
      <c r="H3" s="54" t="s">
        <v>49</v>
      </c>
      <c r="I3" s="1419"/>
      <c r="J3" s="1320"/>
      <c r="K3" s="1415"/>
      <c r="L3" s="1366"/>
      <c r="M3" s="1234" t="s">
        <v>916</v>
      </c>
      <c r="N3" s="1234" t="s">
        <v>917</v>
      </c>
      <c r="O3" s="1229" t="s">
        <v>857</v>
      </c>
      <c r="P3" s="1419"/>
      <c r="Q3" s="1317"/>
      <c r="R3" s="1317"/>
      <c r="S3" s="1423"/>
    </row>
    <row r="4" spans="1:19" s="936" customFormat="1" ht="15.75">
      <c r="A4" s="1195"/>
      <c r="B4" s="1196">
        <v>1</v>
      </c>
      <c r="C4" s="1196">
        <f aca="true" t="shared" si="0" ref="C4:I4">B4+1</f>
        <v>2</v>
      </c>
      <c r="D4" s="1196">
        <f t="shared" si="0"/>
        <v>3</v>
      </c>
      <c r="E4" s="1196">
        <f t="shared" si="0"/>
        <v>4</v>
      </c>
      <c r="F4" s="1196">
        <f t="shared" si="0"/>
        <v>5</v>
      </c>
      <c r="G4" s="1196">
        <f t="shared" si="0"/>
        <v>6</v>
      </c>
      <c r="H4" s="1196">
        <f t="shared" si="0"/>
        <v>7</v>
      </c>
      <c r="I4" s="1196">
        <f t="shared" si="0"/>
        <v>8</v>
      </c>
      <c r="J4" s="1196">
        <f aca="true" t="shared" si="1" ref="J4:S4">I4+1</f>
        <v>9</v>
      </c>
      <c r="K4" s="1196">
        <f t="shared" si="1"/>
        <v>10</v>
      </c>
      <c r="L4" s="1196">
        <f t="shared" si="1"/>
        <v>11</v>
      </c>
      <c r="M4" s="1196">
        <f t="shared" si="1"/>
        <v>12</v>
      </c>
      <c r="N4" s="1196">
        <f t="shared" si="1"/>
        <v>13</v>
      </c>
      <c r="O4" s="1196">
        <f t="shared" si="1"/>
        <v>14</v>
      </c>
      <c r="P4" s="1196">
        <f t="shared" si="1"/>
        <v>15</v>
      </c>
      <c r="Q4" s="1196">
        <f t="shared" si="1"/>
        <v>16</v>
      </c>
      <c r="R4" s="1196">
        <f t="shared" si="1"/>
        <v>17</v>
      </c>
      <c r="S4" s="1196">
        <f t="shared" si="1"/>
        <v>18</v>
      </c>
    </row>
    <row r="5" spans="1:19" s="936" customFormat="1" ht="38.25" customHeight="1">
      <c r="A5" s="1201" t="s">
        <v>557</v>
      </c>
      <c r="B5" s="932">
        <v>193</v>
      </c>
      <c r="C5" s="933">
        <f>'Table 3 Levels 1&amp;2'!AL63</f>
        <v>5738.554206138203</v>
      </c>
      <c r="D5" s="933">
        <f>B5*C5</f>
        <v>1107540.9617846732</v>
      </c>
      <c r="E5" s="935">
        <f>'Table 4 Level 3'!$W$61+'Table 4 Level 3'!$AA$61</f>
        <v>313.78999999999996</v>
      </c>
      <c r="F5" s="935">
        <f>E5*B5</f>
        <v>60561.469999999994</v>
      </c>
      <c r="G5" s="935">
        <f>'Table 4 Level 3'!AE61</f>
        <v>99.45</v>
      </c>
      <c r="H5" s="933">
        <f>G5*B5</f>
        <v>19193.850000000002</v>
      </c>
      <c r="I5" s="935">
        <f>D5+F5+H5</f>
        <v>1187296.2817846732</v>
      </c>
      <c r="J5" s="1183">
        <f>(B5/$B$8)*$J$8</f>
        <v>-38809.24257425743</v>
      </c>
      <c r="K5" s="1230">
        <f>SUM(I5:J5)</f>
        <v>1148487.039210416</v>
      </c>
      <c r="L5" s="935">
        <f>-(0.25%*K5)</f>
        <v>-2871.21759802604</v>
      </c>
      <c r="M5" s="932">
        <v>12</v>
      </c>
      <c r="N5" s="935">
        <f>(C5+E5+G5)/3</f>
        <v>2050.5980687127344</v>
      </c>
      <c r="O5" s="1225">
        <f>M5*N5</f>
        <v>24607.176824552815</v>
      </c>
      <c r="P5" s="1230">
        <f>ROUND(K5+L5+O5,0)</f>
        <v>1170223</v>
      </c>
      <c r="Q5" s="1225">
        <f>'[26]MFP'!$BU$89</f>
        <v>824316</v>
      </c>
      <c r="R5" s="935">
        <f>P5-Q5</f>
        <v>345907</v>
      </c>
      <c r="S5" s="935">
        <f>R5/4</f>
        <v>86476.75</v>
      </c>
    </row>
    <row r="6" spans="1:19" s="936" customFormat="1" ht="38.25" customHeight="1">
      <c r="A6" s="1201" t="s">
        <v>536</v>
      </c>
      <c r="B6" s="932">
        <v>9</v>
      </c>
      <c r="C6" s="933">
        <f>'Table 3 Levels 1&amp;2'!AL44</f>
        <v>5659.540885522947</v>
      </c>
      <c r="D6" s="933">
        <f>B6*C6</f>
        <v>50935.86796970652</v>
      </c>
      <c r="E6" s="935">
        <f>'Table 4 Level 3'!$W$42+'Table 4 Level 3'!$AA$42</f>
        <v>331.71000000000004</v>
      </c>
      <c r="F6" s="935">
        <f>E6*B6</f>
        <v>2985.3900000000003</v>
      </c>
      <c r="G6" s="935">
        <f>'Table 4 Level 3'!AE42</f>
        <v>104.58</v>
      </c>
      <c r="H6" s="933">
        <f>G6*B6</f>
        <v>941.22</v>
      </c>
      <c r="I6" s="935">
        <f>D6+F6+H6</f>
        <v>54862.477969706524</v>
      </c>
      <c r="J6" s="1183">
        <f>(B6/$B$8)*$J$8</f>
        <v>-1809.7574257425742</v>
      </c>
      <c r="K6" s="1230">
        <f>SUM(I6:J6)</f>
        <v>53052.72054396395</v>
      </c>
      <c r="L6" s="935">
        <f>-(0.25%*K6)</f>
        <v>-132.63180135990987</v>
      </c>
      <c r="M6" s="932">
        <v>0</v>
      </c>
      <c r="N6" s="935">
        <f>(C6+E6+G6)/3</f>
        <v>2031.943628507649</v>
      </c>
      <c r="O6" s="1225">
        <f>M6*N6</f>
        <v>0</v>
      </c>
      <c r="P6" s="1230">
        <f>ROUND(K6+L6+O6,0)</f>
        <v>52920</v>
      </c>
      <c r="Q6" s="1225">
        <v>0</v>
      </c>
      <c r="R6" s="935">
        <f>P6-Q6</f>
        <v>52920</v>
      </c>
      <c r="S6" s="935">
        <f>R6/4</f>
        <v>13230</v>
      </c>
    </row>
    <row r="7" spans="1:19" s="936" customFormat="1" ht="38.25" customHeight="1">
      <c r="A7" s="1201" t="s">
        <v>531</v>
      </c>
      <c r="B7" s="932">
        <v>0</v>
      </c>
      <c r="C7" s="933">
        <f>'Table 3 Levels 1&amp;2'!AL38</f>
        <v>4408.662903497111</v>
      </c>
      <c r="D7" s="933">
        <f>B7*C7</f>
        <v>0</v>
      </c>
      <c r="E7" s="935">
        <f>'Table 4 Level 3'!W36+'Table 4 Level 3'!AA36</f>
        <v>310.35</v>
      </c>
      <c r="F7" s="935">
        <f>E7*B7</f>
        <v>0</v>
      </c>
      <c r="G7" s="935">
        <f>'Table 4 Level 3'!AE36</f>
        <v>108.23</v>
      </c>
      <c r="H7" s="933">
        <f>G7*B7</f>
        <v>0</v>
      </c>
      <c r="I7" s="935">
        <f>D7+F7+H7</f>
        <v>0</v>
      </c>
      <c r="J7" s="1183">
        <f>(B7/$B$8)*$J$8</f>
        <v>0</v>
      </c>
      <c r="K7" s="1230">
        <f>SUM(I7:J7)</f>
        <v>0</v>
      </c>
      <c r="L7" s="935">
        <f>-(0.25%*K7)</f>
        <v>0</v>
      </c>
      <c r="M7" s="932">
        <v>2</v>
      </c>
      <c r="N7" s="935">
        <f>(C7+E7+G7)/3</f>
        <v>1609.0809678323703</v>
      </c>
      <c r="O7" s="1225">
        <f>M7*N7</f>
        <v>3218.1619356647407</v>
      </c>
      <c r="P7" s="1230">
        <f>ROUND(K7+L7+O7,0)</f>
        <v>3218</v>
      </c>
      <c r="Q7" s="1225">
        <v>0</v>
      </c>
      <c r="R7" s="935">
        <f>P7-Q7</f>
        <v>3218</v>
      </c>
      <c r="S7" s="935">
        <f>R7/4</f>
        <v>804.5</v>
      </c>
    </row>
    <row r="8" spans="1:19" s="1198" customFormat="1" ht="38.25" customHeight="1">
      <c r="A8" s="1197" t="s">
        <v>910</v>
      </c>
      <c r="B8" s="1182">
        <f>SUM(B5:B7)</f>
        <v>202</v>
      </c>
      <c r="C8" s="939"/>
      <c r="D8" s="939">
        <f>SUM(D5:D7)</f>
        <v>1158476.8297543796</v>
      </c>
      <c r="E8" s="1005"/>
      <c r="F8" s="1005">
        <f>SUM(F5:F7)</f>
        <v>63546.85999999999</v>
      </c>
      <c r="G8" s="1005"/>
      <c r="H8" s="939">
        <f>SUM(H5:H7)</f>
        <v>20135.070000000003</v>
      </c>
      <c r="I8" s="1005">
        <f>SUM(I5:I7)</f>
        <v>1242158.7597543797</v>
      </c>
      <c r="J8" s="1184">
        <f>-'[22]FY2009-10 MFP SFSF Funds'!$D$79</f>
        <v>-40619</v>
      </c>
      <c r="K8" s="1231">
        <f aca="true" t="shared" si="2" ref="K8:S8">SUM(K5:K7)</f>
        <v>1201539.7597543797</v>
      </c>
      <c r="L8" s="1005">
        <f t="shared" si="2"/>
        <v>-3003.8493993859497</v>
      </c>
      <c r="M8" s="1182">
        <f>SUM(M5:M7)</f>
        <v>14</v>
      </c>
      <c r="N8" s="1005"/>
      <c r="O8" s="1226">
        <f t="shared" si="2"/>
        <v>27825.338760217557</v>
      </c>
      <c r="P8" s="1231">
        <f t="shared" si="2"/>
        <v>1226361</v>
      </c>
      <c r="Q8" s="1226">
        <f t="shared" si="2"/>
        <v>824316</v>
      </c>
      <c r="R8" s="1005">
        <f t="shared" si="2"/>
        <v>402045</v>
      </c>
      <c r="S8" s="1005">
        <f t="shared" si="2"/>
        <v>100511.25</v>
      </c>
    </row>
    <row r="9" spans="1:19" s="936" customFormat="1" ht="13.5" customHeight="1">
      <c r="A9" s="978"/>
      <c r="B9" s="1188"/>
      <c r="C9" s="979"/>
      <c r="D9" s="980"/>
      <c r="E9" s="980"/>
      <c r="F9" s="980"/>
      <c r="G9" s="980"/>
      <c r="H9" s="980"/>
      <c r="I9" s="980"/>
      <c r="J9" s="980"/>
      <c r="K9" s="1185"/>
      <c r="L9" s="980"/>
      <c r="M9" s="980"/>
      <c r="N9" s="980"/>
      <c r="O9" s="980"/>
      <c r="P9" s="980"/>
      <c r="Q9" s="980"/>
      <c r="R9" s="980"/>
      <c r="S9" s="980"/>
    </row>
    <row r="10" spans="1:19" s="936" customFormat="1" ht="38.25" customHeight="1">
      <c r="A10" s="938" t="s">
        <v>728</v>
      </c>
      <c r="B10" s="1186"/>
      <c r="C10" s="1237"/>
      <c r="D10" s="1183"/>
      <c r="E10" s="1183"/>
      <c r="F10" s="1183"/>
      <c r="G10" s="1183"/>
      <c r="H10" s="1183"/>
      <c r="I10" s="1183"/>
      <c r="J10" s="1183"/>
      <c r="K10" s="1230"/>
      <c r="L10" s="935">
        <f>-L8</f>
        <v>3003.8493993859497</v>
      </c>
      <c r="M10" s="935"/>
      <c r="N10" s="935"/>
      <c r="O10" s="935"/>
      <c r="P10" s="935">
        <f>L10</f>
        <v>3003.8493993859497</v>
      </c>
      <c r="Q10" s="935">
        <f>3322-317</f>
        <v>3005</v>
      </c>
      <c r="R10" s="1225">
        <f>P10-Q10</f>
        <v>-1.1506006140502905</v>
      </c>
      <c r="S10" s="935">
        <f>R10</f>
        <v>-1.1506006140502905</v>
      </c>
    </row>
    <row r="11" spans="1:19" s="936" customFormat="1" ht="13.5" customHeight="1">
      <c r="A11" s="978"/>
      <c r="B11" s="1188"/>
      <c r="C11" s="979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</row>
    <row r="12" spans="1:19" s="1006" customFormat="1" ht="55.5" customHeight="1">
      <c r="A12" s="938" t="s">
        <v>911</v>
      </c>
      <c r="B12" s="1186">
        <f>SUM(B9:B10)</f>
        <v>0</v>
      </c>
      <c r="C12" s="1237"/>
      <c r="D12" s="1183"/>
      <c r="E12" s="1183"/>
      <c r="F12" s="1184"/>
      <c r="G12" s="1184"/>
      <c r="H12" s="1184"/>
      <c r="I12" s="1184"/>
      <c r="J12" s="1184"/>
      <c r="K12" s="1231">
        <f>K10+K8</f>
        <v>1201539.7597543797</v>
      </c>
      <c r="L12" s="1005">
        <f>L10+L8</f>
        <v>0</v>
      </c>
      <c r="M12" s="1005"/>
      <c r="N12" s="1005"/>
      <c r="O12" s="1005">
        <f>O10+O8</f>
        <v>27825.338760217557</v>
      </c>
      <c r="P12" s="1005">
        <f>P10+P8</f>
        <v>1229364.849399386</v>
      </c>
      <c r="Q12" s="1005">
        <f>Q10+Q8</f>
        <v>827321</v>
      </c>
      <c r="R12" s="1005">
        <f>R10+R8</f>
        <v>402043.849399386</v>
      </c>
      <c r="S12" s="1005">
        <f>S10+S8</f>
        <v>100510.09939938594</v>
      </c>
    </row>
    <row r="13" spans="1:18" ht="12.75">
      <c r="A13" s="940"/>
      <c r="B13" s="940"/>
      <c r="C13" s="941"/>
      <c r="D13" s="942"/>
      <c r="E13" s="941"/>
      <c r="F13" s="941"/>
      <c r="G13" s="941"/>
      <c r="H13" s="941"/>
      <c r="I13" s="941"/>
      <c r="J13" s="944"/>
      <c r="K13" s="944"/>
      <c r="L13" s="944"/>
      <c r="M13" s="944"/>
      <c r="N13" s="944"/>
      <c r="O13" s="944"/>
      <c r="P13" s="944"/>
      <c r="Q13" s="944"/>
      <c r="R13" s="944"/>
    </row>
    <row r="14" spans="3:18" ht="12.75">
      <c r="C14" s="941"/>
      <c r="D14" s="942"/>
      <c r="E14" s="941"/>
      <c r="F14" s="941"/>
      <c r="G14" s="943"/>
      <c r="H14" s="943"/>
      <c r="I14" s="943"/>
      <c r="J14" s="944"/>
      <c r="K14" s="944"/>
      <c r="L14" s="944"/>
      <c r="M14" s="944"/>
      <c r="N14" s="944"/>
      <c r="O14" s="944"/>
      <c r="P14" s="944"/>
      <c r="Q14" s="944"/>
      <c r="R14" s="944"/>
    </row>
    <row r="15" spans="1:19" ht="44.25" customHeight="1">
      <c r="A15" s="1411" t="s">
        <v>48</v>
      </c>
      <c r="B15" s="1315" t="s">
        <v>874</v>
      </c>
      <c r="C15" s="1315" t="s">
        <v>919</v>
      </c>
      <c r="D15" s="1391" t="s">
        <v>76</v>
      </c>
      <c r="E15" s="1315" t="s">
        <v>873</v>
      </c>
      <c r="F15" s="1391" t="s">
        <v>872</v>
      </c>
      <c r="G15" s="1315" t="s">
        <v>71</v>
      </c>
      <c r="H15" s="1420" t="s">
        <v>915</v>
      </c>
      <c r="I15" s="1421"/>
      <c r="J15" s="1422"/>
      <c r="K15" s="1391" t="s">
        <v>908</v>
      </c>
      <c r="L15" s="1391" t="s">
        <v>867</v>
      </c>
      <c r="M15" s="1391" t="s">
        <v>847</v>
      </c>
      <c r="N15" s="1391" t="s">
        <v>75</v>
      </c>
      <c r="O15" s="1405" t="s">
        <v>62</v>
      </c>
      <c r="P15" s="1405" t="s">
        <v>63</v>
      </c>
      <c r="Q15" s="1199"/>
      <c r="R15" s="1199"/>
      <c r="S15" s="1199"/>
    </row>
    <row r="16" spans="1:19" ht="90" customHeight="1">
      <c r="A16" s="1411"/>
      <c r="B16" s="1317"/>
      <c r="C16" s="1317"/>
      <c r="D16" s="1392"/>
      <c r="E16" s="1317"/>
      <c r="F16" s="1392"/>
      <c r="G16" s="1317"/>
      <c r="H16" s="1235" t="s">
        <v>916</v>
      </c>
      <c r="I16" s="1235" t="s">
        <v>918</v>
      </c>
      <c r="J16" s="1236" t="s">
        <v>864</v>
      </c>
      <c r="K16" s="1392"/>
      <c r="L16" s="1392"/>
      <c r="M16" s="1392"/>
      <c r="N16" s="1392"/>
      <c r="O16" s="1406"/>
      <c r="P16" s="1406"/>
      <c r="Q16" s="1199"/>
      <c r="R16" s="1199"/>
      <c r="S16" s="1199"/>
    </row>
    <row r="17" spans="1:19" ht="15.75">
      <c r="A17" s="1200"/>
      <c r="B17" s="1196">
        <f>S4+1</f>
        <v>19</v>
      </c>
      <c r="C17" s="1196">
        <f>B17+1</f>
        <v>20</v>
      </c>
      <c r="D17" s="1196">
        <f>C17+1</f>
        <v>21</v>
      </c>
      <c r="E17" s="1196">
        <f aca="true" t="shared" si="3" ref="E17:P17">D17+1</f>
        <v>22</v>
      </c>
      <c r="F17" s="1196">
        <f t="shared" si="3"/>
        <v>23</v>
      </c>
      <c r="G17" s="1196">
        <f t="shared" si="3"/>
        <v>24</v>
      </c>
      <c r="H17" s="1196">
        <f t="shared" si="3"/>
        <v>25</v>
      </c>
      <c r="I17" s="1196">
        <f t="shared" si="3"/>
        <v>26</v>
      </c>
      <c r="J17" s="1196">
        <f t="shared" si="3"/>
        <v>27</v>
      </c>
      <c r="K17" s="1196">
        <f t="shared" si="3"/>
        <v>28</v>
      </c>
      <c r="L17" s="1196">
        <f t="shared" si="3"/>
        <v>29</v>
      </c>
      <c r="M17" s="1196">
        <f t="shared" si="3"/>
        <v>30</v>
      </c>
      <c r="N17" s="1196">
        <f t="shared" si="3"/>
        <v>31</v>
      </c>
      <c r="O17" s="1196">
        <f t="shared" si="3"/>
        <v>32</v>
      </c>
      <c r="P17" s="1196">
        <f t="shared" si="3"/>
        <v>33</v>
      </c>
      <c r="Q17" s="1199"/>
      <c r="R17" s="1199"/>
      <c r="S17" s="1199"/>
    </row>
    <row r="18" spans="1:19" s="936" customFormat="1" ht="38.25" customHeight="1">
      <c r="A18" s="1201" t="s">
        <v>557</v>
      </c>
      <c r="B18" s="932">
        <f>B5</f>
        <v>193</v>
      </c>
      <c r="C18" s="1228">
        <f>'[28]FY2009-10 FINAL'!$C$62</f>
        <v>2834</v>
      </c>
      <c r="D18" s="935">
        <f>C18*B18</f>
        <v>546962</v>
      </c>
      <c r="E18" s="1225">
        <f>(B18/$B$21)*$E$21</f>
        <v>-95544.55445544554</v>
      </c>
      <c r="F18" s="935">
        <f>SUM(D18:E18)</f>
        <v>451417.44554455444</v>
      </c>
      <c r="G18" s="935">
        <f>-(0.25%*F18)</f>
        <v>-1128.5436138613861</v>
      </c>
      <c r="H18" s="932">
        <f>M5</f>
        <v>12</v>
      </c>
      <c r="I18" s="935">
        <f>C18/3</f>
        <v>944.6666666666666</v>
      </c>
      <c r="J18" s="935">
        <f>H18*I18</f>
        <v>11336</v>
      </c>
      <c r="K18" s="1203">
        <f>ROUND(F18+G18+J18,0)</f>
        <v>461625</v>
      </c>
      <c r="L18" s="1225">
        <f>'[26]MFP'!$BW$89</f>
        <v>264558</v>
      </c>
      <c r="M18" s="935">
        <f>K18-L18</f>
        <v>197067</v>
      </c>
      <c r="N18" s="935">
        <f>M18/4</f>
        <v>49266.75</v>
      </c>
      <c r="O18" s="1183">
        <f>K18+P5</f>
        <v>1631848</v>
      </c>
      <c r="P18" s="1183">
        <f>N18+S5</f>
        <v>135743.5</v>
      </c>
      <c r="Q18" s="1202"/>
      <c r="R18" s="1202"/>
      <c r="S18" s="1202"/>
    </row>
    <row r="19" spans="1:19" s="936" customFormat="1" ht="38.25" customHeight="1">
      <c r="A19" s="1201" t="s">
        <v>536</v>
      </c>
      <c r="B19" s="932">
        <f>B6</f>
        <v>9</v>
      </c>
      <c r="C19" s="1228">
        <f>'[28]FY2009-10 FINAL'!$E$43</f>
        <v>2862.85</v>
      </c>
      <c r="D19" s="935">
        <f>C19*B19</f>
        <v>25765.649999999998</v>
      </c>
      <c r="E19" s="1225">
        <f>(B19/$B$21)*$E$21</f>
        <v>-4455.445544554455</v>
      </c>
      <c r="F19" s="935">
        <f>SUM(D19:E19)</f>
        <v>21310.204455445542</v>
      </c>
      <c r="G19" s="935">
        <f>-(0.25%*F19)</f>
        <v>-53.27551113861386</v>
      </c>
      <c r="H19" s="932">
        <f>M6</f>
        <v>0</v>
      </c>
      <c r="I19" s="935">
        <f>C19/3</f>
        <v>954.2833333333333</v>
      </c>
      <c r="J19" s="935">
        <f>H19*I19</f>
        <v>0</v>
      </c>
      <c r="K19" s="1203">
        <f>ROUND(F19+G19+J19,0)</f>
        <v>21257</v>
      </c>
      <c r="L19" s="1225">
        <v>0</v>
      </c>
      <c r="M19" s="935">
        <f>K19-L19</f>
        <v>21257</v>
      </c>
      <c r="N19" s="935">
        <f>M19/4</f>
        <v>5314.25</v>
      </c>
      <c r="O19" s="1183">
        <f>K19+P6</f>
        <v>74177</v>
      </c>
      <c r="P19" s="1183">
        <f>N19+S6</f>
        <v>18544.25</v>
      </c>
      <c r="Q19" s="1202"/>
      <c r="R19" s="1202"/>
      <c r="S19" s="1202"/>
    </row>
    <row r="20" spans="1:19" s="936" customFormat="1" ht="38.25" customHeight="1">
      <c r="A20" s="1201" t="s">
        <v>531</v>
      </c>
      <c r="B20" s="932">
        <f>B7</f>
        <v>0</v>
      </c>
      <c r="C20" s="1228">
        <f>'[28]FY2009-10 FINAL'!$C$37</f>
        <v>4217</v>
      </c>
      <c r="D20" s="935">
        <f>C20*B20</f>
        <v>0</v>
      </c>
      <c r="E20" s="1225">
        <f>(B20/$B$21)*$E$21</f>
        <v>0</v>
      </c>
      <c r="F20" s="935">
        <f>SUM(D20:E20)</f>
        <v>0</v>
      </c>
      <c r="G20" s="935">
        <f>-(0.25%*F20)</f>
        <v>0</v>
      </c>
      <c r="H20" s="932">
        <f>M7</f>
        <v>2</v>
      </c>
      <c r="I20" s="935">
        <f>C20/3</f>
        <v>1405.6666666666667</v>
      </c>
      <c r="J20" s="935">
        <f>H20*I20</f>
        <v>2811.3333333333335</v>
      </c>
      <c r="K20" s="1203">
        <f>ROUND(F20+G20+J20,0)</f>
        <v>2811</v>
      </c>
      <c r="L20" s="1225">
        <v>0</v>
      </c>
      <c r="M20" s="935">
        <f>K20-L20</f>
        <v>2811</v>
      </c>
      <c r="N20" s="935">
        <f>M20/4</f>
        <v>702.75</v>
      </c>
      <c r="O20" s="1183">
        <f>K20+P7</f>
        <v>6029</v>
      </c>
      <c r="P20" s="1183">
        <f>N20+S7</f>
        <v>1507.25</v>
      </c>
      <c r="Q20" s="1202"/>
      <c r="R20" s="1202"/>
      <c r="S20" s="1202"/>
    </row>
    <row r="21" spans="1:19" s="936" customFormat="1" ht="38.25" customHeight="1">
      <c r="A21" s="1197" t="s">
        <v>910</v>
      </c>
      <c r="B21" s="1182">
        <f>SUM(B18:B20)</f>
        <v>202</v>
      </c>
      <c r="C21" s="1228"/>
      <c r="D21" s="935">
        <f>SUM(D18:D20)</f>
        <v>572727.65</v>
      </c>
      <c r="E21" s="935">
        <v>-100000</v>
      </c>
      <c r="F21" s="935">
        <f>SUM(F18:F20)</f>
        <v>472727.64999999997</v>
      </c>
      <c r="G21" s="935">
        <f aca="true" t="shared" si="4" ref="G21:P21">SUM(G18:G20)</f>
        <v>-1181.819125</v>
      </c>
      <c r="H21" s="1182">
        <f t="shared" si="4"/>
        <v>14</v>
      </c>
      <c r="I21" s="935"/>
      <c r="J21" s="935">
        <f t="shared" si="4"/>
        <v>14147.333333333334</v>
      </c>
      <c r="K21" s="1203">
        <f t="shared" si="4"/>
        <v>485693</v>
      </c>
      <c r="L21" s="1225">
        <f t="shared" si="4"/>
        <v>264558</v>
      </c>
      <c r="M21" s="935">
        <f t="shared" si="4"/>
        <v>221135</v>
      </c>
      <c r="N21" s="935">
        <f t="shared" si="4"/>
        <v>55283.75</v>
      </c>
      <c r="O21" s="1183">
        <f t="shared" si="4"/>
        <v>1712054</v>
      </c>
      <c r="P21" s="1183">
        <f t="shared" si="4"/>
        <v>155795</v>
      </c>
      <c r="Q21" s="1202"/>
      <c r="R21" s="1202"/>
      <c r="S21" s="1202"/>
    </row>
    <row r="22" spans="1:19" ht="13.5" customHeight="1">
      <c r="A22" s="978"/>
      <c r="B22" s="1188"/>
      <c r="C22" s="980"/>
      <c r="D22" s="980"/>
      <c r="E22" s="980"/>
      <c r="F22" s="980"/>
      <c r="G22" s="980"/>
      <c r="H22" s="980"/>
      <c r="I22" s="980"/>
      <c r="J22" s="980"/>
      <c r="K22" s="980"/>
      <c r="L22" s="1227"/>
      <c r="M22" s="980"/>
      <c r="N22" s="980"/>
      <c r="O22" s="980"/>
      <c r="P22" s="980"/>
      <c r="Q22" s="1199"/>
      <c r="R22" s="1199"/>
      <c r="S22" s="1199"/>
    </row>
    <row r="23" spans="1:19" ht="56.25" customHeight="1">
      <c r="A23" s="938" t="s">
        <v>912</v>
      </c>
      <c r="B23" s="1186"/>
      <c r="C23" s="1238"/>
      <c r="D23" s="1238"/>
      <c r="E23" s="1238"/>
      <c r="F23" s="1012"/>
      <c r="G23" s="1012">
        <f>-G21</f>
        <v>1181.819125</v>
      </c>
      <c r="H23" s="1012"/>
      <c r="I23" s="1012"/>
      <c r="J23" s="1012"/>
      <c r="K23" s="1012">
        <f>G23</f>
        <v>1181.819125</v>
      </c>
      <c r="L23" s="1228">
        <v>663</v>
      </c>
      <c r="M23" s="1012">
        <f>K23-L23</f>
        <v>518.819125</v>
      </c>
      <c r="N23" s="1012">
        <f>M23</f>
        <v>518.819125</v>
      </c>
      <c r="O23" s="1014"/>
      <c r="P23" s="1014">
        <f>N23+S10</f>
        <v>517.6685243859497</v>
      </c>
      <c r="Q23" s="1199"/>
      <c r="R23" s="1199"/>
      <c r="S23" s="1199"/>
    </row>
    <row r="24" spans="1:19" ht="13.5" customHeight="1">
      <c r="A24" s="978"/>
      <c r="B24" s="1188"/>
      <c r="C24" s="1185"/>
      <c r="D24" s="1185"/>
      <c r="E24" s="1185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1199"/>
      <c r="R24" s="1199"/>
      <c r="S24" s="1199"/>
    </row>
    <row r="25" spans="1:19" ht="51.75" customHeight="1">
      <c r="A25" s="938" t="s">
        <v>911</v>
      </c>
      <c r="B25" s="1186"/>
      <c r="C25" s="1239"/>
      <c r="D25" s="1239"/>
      <c r="E25" s="1239"/>
      <c r="F25" s="1013">
        <f>F21+F23</f>
        <v>472727.64999999997</v>
      </c>
      <c r="G25" s="1013">
        <f>G23+G21</f>
        <v>0</v>
      </c>
      <c r="H25" s="1013"/>
      <c r="I25" s="1013"/>
      <c r="J25" s="1013">
        <f>J23+J21</f>
        <v>14147.333333333334</v>
      </c>
      <c r="K25" s="1013">
        <f>K23+K21</f>
        <v>486874.819125</v>
      </c>
      <c r="L25" s="1013">
        <f>L23+L21</f>
        <v>265221</v>
      </c>
      <c r="M25" s="1013"/>
      <c r="N25" s="1013"/>
      <c r="O25" s="1016"/>
      <c r="P25" s="1016"/>
      <c r="Q25" s="1199"/>
      <c r="R25" s="1199"/>
      <c r="S25" s="1199"/>
    </row>
    <row r="27" spans="1:2" ht="12.75" hidden="1">
      <c r="A27" s="945"/>
      <c r="B27" s="945"/>
    </row>
    <row r="28" spans="1:2" ht="12.75" hidden="1">
      <c r="A28" s="946"/>
      <c r="B28" s="946"/>
    </row>
    <row r="29" spans="10:18" ht="12.75" hidden="1">
      <c r="J29" s="1251"/>
      <c r="K29" s="1252"/>
      <c r="L29" s="1252"/>
      <c r="M29" s="1252"/>
      <c r="N29" s="1252"/>
      <c r="O29" s="1252"/>
      <c r="P29" s="1252"/>
      <c r="Q29" s="1252"/>
      <c r="R29" s="1253"/>
    </row>
    <row r="30" spans="10:18" ht="12.75" hidden="1">
      <c r="J30" s="1254"/>
      <c r="K30" s="1249"/>
      <c r="L30" s="1249"/>
      <c r="M30" s="943"/>
      <c r="P30" s="1249"/>
      <c r="Q30" s="1249"/>
      <c r="R30" s="1250"/>
    </row>
    <row r="31" spans="10:18" ht="12.75" hidden="1">
      <c r="J31" s="1254"/>
      <c r="K31" s="944"/>
      <c r="L31" s="944"/>
      <c r="M31" s="944"/>
      <c r="P31" s="944"/>
      <c r="Q31" s="944"/>
      <c r="R31" s="1240"/>
    </row>
    <row r="32" spans="10:18" ht="12.75" hidden="1">
      <c r="J32" s="1254"/>
      <c r="K32" s="944"/>
      <c r="L32" s="944"/>
      <c r="M32" s="1242"/>
      <c r="P32" s="1242"/>
      <c r="Q32" s="944"/>
      <c r="R32" s="1241"/>
    </row>
    <row r="33" spans="10:18" ht="12.75" hidden="1">
      <c r="J33" s="1255"/>
      <c r="K33" s="944"/>
      <c r="L33" s="944"/>
      <c r="M33" s="944"/>
      <c r="N33" s="944"/>
      <c r="O33" s="944"/>
      <c r="P33" s="944"/>
      <c r="Q33" s="944"/>
      <c r="R33" s="1240"/>
    </row>
    <row r="34" spans="10:18" ht="12.75" hidden="1">
      <c r="J34" s="1256"/>
      <c r="K34" s="1257"/>
      <c r="L34" s="1257"/>
      <c r="M34" s="1257"/>
      <c r="N34" s="1257"/>
      <c r="O34" s="1257"/>
      <c r="P34" s="1257"/>
      <c r="Q34" s="1257"/>
      <c r="R34" s="1258"/>
    </row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29">
    <mergeCell ref="R2:R3"/>
    <mergeCell ref="S2:S3"/>
    <mergeCell ref="J2:J3"/>
    <mergeCell ref="K2:K3"/>
    <mergeCell ref="L2:L3"/>
    <mergeCell ref="P2:P3"/>
    <mergeCell ref="M2:O2"/>
    <mergeCell ref="G15:G16"/>
    <mergeCell ref="K15:K16"/>
    <mergeCell ref="L15:L16"/>
    <mergeCell ref="M15:M16"/>
    <mergeCell ref="N15:N16"/>
    <mergeCell ref="H15:J15"/>
    <mergeCell ref="O15:O16"/>
    <mergeCell ref="P15:P16"/>
    <mergeCell ref="Q2:Q3"/>
    <mergeCell ref="A15:A16"/>
    <mergeCell ref="B15:B16"/>
    <mergeCell ref="C15:C16"/>
    <mergeCell ref="D15:D16"/>
    <mergeCell ref="F15:F16"/>
    <mergeCell ref="I2:I3"/>
    <mergeCell ref="E15:E16"/>
    <mergeCell ref="A2:A3"/>
    <mergeCell ref="B2:B3"/>
    <mergeCell ref="C2:C3"/>
    <mergeCell ref="D2:D3"/>
    <mergeCell ref="E2:F2"/>
    <mergeCell ref="G2:H2"/>
  </mergeCells>
  <printOptions/>
  <pageMargins left="0.7" right="0.7" top="1.09" bottom="0.75" header="0.52" footer="0.3"/>
  <pageSetup fitToHeight="1" fitToWidth="1" horizontalDpi="600" verticalDpi="600" orientation="landscape" paperSize="5" scale="48" r:id="rId1"/>
  <headerFooter>
    <oddHeader>&amp;L&amp;"Arial,Bold"&amp;20Table 5C-2: FY2009-2010 Budget Letter (March 2010)
Type 2 Charter School Allocation (D'Arbonne Woods Charter)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90" zoomScaleNormal="85" zoomScaleSheetLayoutView="90" zoomScalePageLayoutView="0" workbookViewId="0" topLeftCell="A1">
      <pane xSplit="2" ySplit="7" topLeftCell="C71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A81" sqref="A81:IV81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18.421875" style="0" customWidth="1"/>
    <col min="4" max="4" width="17.7109375" style="0" customWidth="1"/>
    <col min="5" max="5" width="19.421875" style="0" customWidth="1"/>
    <col min="6" max="6" width="17.00390625" style="0" customWidth="1"/>
    <col min="7" max="7" width="18.7109375" style="0" customWidth="1"/>
    <col min="8" max="8" width="15.421875" style="0" customWidth="1"/>
    <col min="9" max="9" width="14.421875" style="0" customWidth="1"/>
    <col min="10" max="10" width="16.00390625" style="0" customWidth="1"/>
    <col min="11" max="11" width="13.7109375" style="0" customWidth="1"/>
    <col min="13" max="13" width="12.7109375" style="0" customWidth="1"/>
  </cols>
  <sheetData>
    <row r="1" spans="2:10" ht="46.5" customHeight="1">
      <c r="B1" s="316" t="s">
        <v>465</v>
      </c>
      <c r="C1" s="317"/>
      <c r="D1" s="317"/>
      <c r="E1" s="318"/>
      <c r="F1" s="318"/>
      <c r="G1" s="318"/>
      <c r="H1" s="318"/>
      <c r="I1" s="318"/>
      <c r="J1" s="318"/>
    </row>
    <row r="2" spans="1:10" ht="15" customHeight="1">
      <c r="A2" s="58"/>
      <c r="B2" s="58"/>
      <c r="C2" s="2"/>
      <c r="D2" s="2"/>
      <c r="E2" s="2"/>
      <c r="F2" s="2"/>
      <c r="G2" s="2"/>
      <c r="H2" s="2"/>
      <c r="I2" s="2"/>
      <c r="J2" s="2"/>
    </row>
    <row r="3" spans="1:10" ht="40.5" customHeight="1" hidden="1">
      <c r="A3" s="58"/>
      <c r="C3" s="139"/>
      <c r="D3" s="139"/>
      <c r="E3" s="139" t="s">
        <v>167</v>
      </c>
      <c r="F3" s="139"/>
      <c r="G3" s="139"/>
      <c r="H3" s="139" t="s">
        <v>168</v>
      </c>
      <c r="I3" s="139"/>
      <c r="J3" s="139"/>
    </row>
    <row r="4" spans="1:10" ht="45" customHeight="1">
      <c r="A4" s="1315" t="s">
        <v>408</v>
      </c>
      <c r="B4" s="1315" t="s">
        <v>103</v>
      </c>
      <c r="C4" s="1426" t="s">
        <v>622</v>
      </c>
      <c r="D4" s="1427"/>
      <c r="E4" s="1428"/>
      <c r="F4" s="1426" t="s">
        <v>444</v>
      </c>
      <c r="G4" s="1427"/>
      <c r="H4" s="1427"/>
      <c r="I4" s="1427"/>
      <c r="J4" s="1428"/>
    </row>
    <row r="5" spans="1:10" ht="51.75" customHeight="1">
      <c r="A5" s="1424"/>
      <c r="B5" s="1424"/>
      <c r="C5" s="1412" t="s">
        <v>612</v>
      </c>
      <c r="D5" s="1412" t="s">
        <v>613</v>
      </c>
      <c r="E5" s="87" t="s">
        <v>455</v>
      </c>
      <c r="F5" s="1412" t="s">
        <v>614</v>
      </c>
      <c r="G5" s="1412" t="s">
        <v>615</v>
      </c>
      <c r="H5" s="87" t="s">
        <v>454</v>
      </c>
      <c r="I5" s="1412" t="s">
        <v>623</v>
      </c>
      <c r="J5" s="1412" t="s">
        <v>680</v>
      </c>
    </row>
    <row r="6" spans="1:10" ht="15.75" customHeight="1">
      <c r="A6" s="1425"/>
      <c r="B6" s="1425"/>
      <c r="C6" s="1412"/>
      <c r="D6" s="1412"/>
      <c r="E6" s="502">
        <f>41.01*45.77%</f>
        <v>18.770277</v>
      </c>
      <c r="F6" s="1412"/>
      <c r="G6" s="1412"/>
      <c r="H6" s="503">
        <f>0.0196*45.77%</f>
        <v>0.00897092</v>
      </c>
      <c r="I6" s="1412"/>
      <c r="J6" s="1412"/>
    </row>
    <row r="7" spans="1:10" ht="12.75">
      <c r="A7" s="82"/>
      <c r="B7" s="82"/>
      <c r="C7" s="286">
        <v>1</v>
      </c>
      <c r="D7" s="287">
        <f aca="true" t="shared" si="0" ref="D7:J7">1+C7</f>
        <v>2</v>
      </c>
      <c r="E7" s="287">
        <f t="shared" si="0"/>
        <v>3</v>
      </c>
      <c r="F7" s="287">
        <f t="shared" si="0"/>
        <v>4</v>
      </c>
      <c r="G7" s="287">
        <f t="shared" si="0"/>
        <v>5</v>
      </c>
      <c r="H7" s="287">
        <f t="shared" si="0"/>
        <v>6</v>
      </c>
      <c r="I7" s="362">
        <f t="shared" si="0"/>
        <v>7</v>
      </c>
      <c r="J7" s="287">
        <f t="shared" si="0"/>
        <v>8</v>
      </c>
    </row>
    <row r="8" spans="1:10" ht="1.5" customHeight="1">
      <c r="A8" s="10"/>
      <c r="B8" s="11"/>
      <c r="C8" s="151"/>
      <c r="D8" s="12"/>
      <c r="E8" s="470"/>
      <c r="F8" s="471"/>
      <c r="G8" s="12"/>
      <c r="I8" s="470"/>
      <c r="J8" s="141"/>
    </row>
    <row r="9" spans="1:10" ht="12.75">
      <c r="A9" s="13">
        <v>1</v>
      </c>
      <c r="B9" s="14" t="s">
        <v>302</v>
      </c>
      <c r="C9" s="15">
        <f>'Table 7 Local Revenue'!AE8</f>
        <v>6601098</v>
      </c>
      <c r="D9" s="15">
        <f>'Table 7 Local Revenue'!H8</f>
        <v>211819105</v>
      </c>
      <c r="E9" s="15">
        <f aca="true" t="shared" si="1" ref="E9:E40">ROUND(D9*$E$6/1000,0)</f>
        <v>3975903</v>
      </c>
      <c r="F9" s="380">
        <f>'Table 7 Local Revenue'!AI8</f>
        <v>10760720</v>
      </c>
      <c r="G9" s="15">
        <f>'Table 7 Local Revenue'!AM8</f>
        <v>717381333</v>
      </c>
      <c r="H9" s="15">
        <f aca="true" t="shared" si="2" ref="H9:H40">ROUND(G9*$H$6,0)</f>
        <v>6435571</v>
      </c>
      <c r="I9" s="323">
        <f>'Table 7 Local Revenue'!AP8</f>
        <v>536092</v>
      </c>
      <c r="J9" s="15">
        <f aca="true" t="shared" si="3" ref="J9:J40">E9+H9+I9</f>
        <v>10947566</v>
      </c>
    </row>
    <row r="10" spans="1:10" ht="12.75">
      <c r="A10" s="13">
        <v>2</v>
      </c>
      <c r="B10" s="14" t="s">
        <v>303</v>
      </c>
      <c r="C10" s="15">
        <f>'Table 7 Local Revenue'!AE9</f>
        <v>3335533</v>
      </c>
      <c r="D10" s="15">
        <f>'Table 7 Local Revenue'!H9</f>
        <v>74211973</v>
      </c>
      <c r="E10" s="15">
        <f t="shared" si="1"/>
        <v>1392979</v>
      </c>
      <c r="F10" s="380">
        <f>'Table 7 Local Revenue'!AI9</f>
        <v>7885118</v>
      </c>
      <c r="G10" s="15">
        <f>'Table 7 Local Revenue'!AM9</f>
        <v>262837267</v>
      </c>
      <c r="H10" s="15">
        <f t="shared" si="2"/>
        <v>2357892</v>
      </c>
      <c r="I10" s="323">
        <f>'Table 7 Local Revenue'!AP9</f>
        <v>99075</v>
      </c>
      <c r="J10" s="15">
        <f t="shared" si="3"/>
        <v>3849946</v>
      </c>
    </row>
    <row r="11" spans="1:10" ht="12.75">
      <c r="A11" s="13">
        <v>3</v>
      </c>
      <c r="B11" s="14" t="s">
        <v>304</v>
      </c>
      <c r="C11" s="15">
        <f>'Table 7 Local Revenue'!AE10</f>
        <v>39948934</v>
      </c>
      <c r="D11" s="15">
        <f>'Table 7 Local Revenue'!H10</f>
        <v>676525454</v>
      </c>
      <c r="E11" s="15">
        <f t="shared" si="1"/>
        <v>12698570</v>
      </c>
      <c r="F11" s="380">
        <f>'Table 7 Local Revenue'!AI10</f>
        <v>44552548</v>
      </c>
      <c r="G11" s="15">
        <f>'Table 7 Local Revenue'!AM10</f>
        <v>2227627400</v>
      </c>
      <c r="H11" s="15">
        <f t="shared" si="2"/>
        <v>19983867</v>
      </c>
      <c r="I11" s="323">
        <f>'Table 7 Local Revenue'!AP10</f>
        <v>134466</v>
      </c>
      <c r="J11" s="15">
        <f t="shared" si="3"/>
        <v>32816903</v>
      </c>
    </row>
    <row r="12" spans="1:10" ht="12.75">
      <c r="A12" s="13">
        <v>4</v>
      </c>
      <c r="B12" s="14" t="s">
        <v>305</v>
      </c>
      <c r="C12" s="15">
        <f>'Table 7 Local Revenue'!AE11</f>
        <v>4601756</v>
      </c>
      <c r="D12" s="15">
        <f>'Table 7 Local Revenue'!H11</f>
        <v>112005936.9</v>
      </c>
      <c r="E12" s="15">
        <f t="shared" si="1"/>
        <v>2102382</v>
      </c>
      <c r="F12" s="380">
        <f>'Table 7 Local Revenue'!AI11</f>
        <v>6138103</v>
      </c>
      <c r="G12" s="15">
        <f>'Table 7 Local Revenue'!AM11</f>
        <v>204603433</v>
      </c>
      <c r="H12" s="15">
        <f t="shared" si="2"/>
        <v>1835481</v>
      </c>
      <c r="I12" s="323">
        <f>'Table 7 Local Revenue'!AP11</f>
        <v>125445</v>
      </c>
      <c r="J12" s="15">
        <f t="shared" si="3"/>
        <v>4063308</v>
      </c>
    </row>
    <row r="13" spans="1:10" ht="12.75">
      <c r="A13" s="19">
        <v>5</v>
      </c>
      <c r="B13" s="20" t="s">
        <v>306</v>
      </c>
      <c r="C13" s="21">
        <f>'Table 7 Local Revenue'!AE12</f>
        <v>1447172</v>
      </c>
      <c r="D13" s="21">
        <f>'Table 7 Local Revenue'!H12</f>
        <v>87499779</v>
      </c>
      <c r="E13" s="21">
        <f t="shared" si="1"/>
        <v>1642395</v>
      </c>
      <c r="F13" s="381">
        <f>'Table 7 Local Revenue'!AI12</f>
        <v>5948374</v>
      </c>
      <c r="G13" s="21">
        <f>'Table 7 Local Revenue'!AM12</f>
        <v>396558267</v>
      </c>
      <c r="H13" s="21">
        <f t="shared" si="2"/>
        <v>3557492</v>
      </c>
      <c r="I13" s="324">
        <f>'Table 7 Local Revenue'!AP12</f>
        <v>93519</v>
      </c>
      <c r="J13" s="21">
        <f t="shared" si="3"/>
        <v>5293406</v>
      </c>
    </row>
    <row r="14" spans="1:10" ht="12.75">
      <c r="A14" s="13">
        <v>6</v>
      </c>
      <c r="B14" s="14" t="s">
        <v>307</v>
      </c>
      <c r="C14" s="15">
        <f>'Table 7 Local Revenue'!AE13</f>
        <v>8160927</v>
      </c>
      <c r="D14" s="15">
        <f>'Table 7 Local Revenue'!H13</f>
        <v>161079735</v>
      </c>
      <c r="E14" s="15">
        <f t="shared" si="1"/>
        <v>3023511</v>
      </c>
      <c r="F14" s="380">
        <f>'Table 7 Local Revenue'!AI13</f>
        <v>9745653</v>
      </c>
      <c r="G14" s="15">
        <f>'Table 7 Local Revenue'!AM13</f>
        <v>474512022.49999994</v>
      </c>
      <c r="H14" s="15">
        <f t="shared" si="2"/>
        <v>4256809</v>
      </c>
      <c r="I14" s="323">
        <f>'Table 7 Local Revenue'!AP13</f>
        <v>312145</v>
      </c>
      <c r="J14" s="15">
        <f t="shared" si="3"/>
        <v>7592465</v>
      </c>
    </row>
    <row r="15" spans="1:10" ht="12.75">
      <c r="A15" s="13">
        <v>7</v>
      </c>
      <c r="B15" s="14" t="s">
        <v>308</v>
      </c>
      <c r="C15" s="15">
        <f>'Table 7 Local Revenue'!AE14</f>
        <v>12017559</v>
      </c>
      <c r="D15" s="15">
        <f>'Table 7 Local Revenue'!H14</f>
        <v>201195940.00000003</v>
      </c>
      <c r="E15" s="15">
        <f t="shared" si="1"/>
        <v>3776504</v>
      </c>
      <c r="F15" s="380">
        <f>'Table 7 Local Revenue'!AI14</f>
        <v>7618625</v>
      </c>
      <c r="G15" s="15">
        <f>'Table 7 Local Revenue'!AM14</f>
        <v>344871257.5</v>
      </c>
      <c r="H15" s="15">
        <f t="shared" si="2"/>
        <v>3093812</v>
      </c>
      <c r="I15" s="323">
        <f>'Table 7 Local Revenue'!AP14</f>
        <v>148143</v>
      </c>
      <c r="J15" s="15">
        <f t="shared" si="3"/>
        <v>7018459</v>
      </c>
    </row>
    <row r="16" spans="1:10" ht="12.75">
      <c r="A16" s="13">
        <v>8</v>
      </c>
      <c r="B16" s="14" t="s">
        <v>309</v>
      </c>
      <c r="C16" s="15">
        <f>'Table 7 Local Revenue'!AE15</f>
        <v>31765039</v>
      </c>
      <c r="D16" s="15">
        <f>'Table 7 Local Revenue'!H15</f>
        <v>582498464</v>
      </c>
      <c r="E16" s="15">
        <f t="shared" si="1"/>
        <v>10933658</v>
      </c>
      <c r="F16" s="380">
        <f>'Table 7 Local Revenue'!AI15</f>
        <v>39176567</v>
      </c>
      <c r="G16" s="15">
        <f>'Table 7 Local Revenue'!AM15</f>
        <v>2238660971</v>
      </c>
      <c r="H16" s="15">
        <f t="shared" si="2"/>
        <v>20082848</v>
      </c>
      <c r="I16" s="323">
        <f>'Table 7 Local Revenue'!AP15</f>
        <v>657255</v>
      </c>
      <c r="J16" s="15">
        <f t="shared" si="3"/>
        <v>31673761</v>
      </c>
    </row>
    <row r="17" spans="1:10" ht="12.75">
      <c r="A17" s="13">
        <v>9</v>
      </c>
      <c r="B17" s="14" t="s">
        <v>310</v>
      </c>
      <c r="C17" s="15">
        <f>'Table 7 Local Revenue'!AE16</f>
        <v>95069383</v>
      </c>
      <c r="D17" s="15">
        <f>'Table 7 Local Revenue'!H16</f>
        <v>1182687910</v>
      </c>
      <c r="E17" s="15">
        <f t="shared" si="1"/>
        <v>22199380</v>
      </c>
      <c r="F17" s="380">
        <f>'Table 7 Local Revenue'!AI16</f>
        <v>67222913</v>
      </c>
      <c r="G17" s="15">
        <f>'Table 7 Local Revenue'!AM16</f>
        <v>4481527533</v>
      </c>
      <c r="H17" s="15">
        <f t="shared" si="2"/>
        <v>40203425</v>
      </c>
      <c r="I17" s="323">
        <f>'Table 7 Local Revenue'!AP16</f>
        <v>3144198</v>
      </c>
      <c r="J17" s="15">
        <f t="shared" si="3"/>
        <v>65547003</v>
      </c>
    </row>
    <row r="18" spans="1:13" ht="12.75">
      <c r="A18" s="19">
        <v>10</v>
      </c>
      <c r="B18" s="20" t="s">
        <v>311</v>
      </c>
      <c r="C18" s="21">
        <f>'Table 7 Local Revenue'!AE17</f>
        <v>40588552</v>
      </c>
      <c r="D18" s="21">
        <f>'Table 7 Local Revenue'!H17</f>
        <v>1168655556.2</v>
      </c>
      <c r="E18" s="21">
        <f t="shared" si="1"/>
        <v>21935989</v>
      </c>
      <c r="F18" s="381">
        <f>'Table 7 Local Revenue'!AI17</f>
        <v>92522498</v>
      </c>
      <c r="G18" s="21">
        <f>'Table 7 Local Revenue'!AM17</f>
        <v>4626124900</v>
      </c>
      <c r="H18" s="21">
        <f t="shared" si="2"/>
        <v>41500596</v>
      </c>
      <c r="I18" s="324">
        <f>'Table 7 Local Revenue'!AP17</f>
        <v>1007605</v>
      </c>
      <c r="J18" s="21">
        <f t="shared" si="3"/>
        <v>64444190</v>
      </c>
      <c r="K18" s="42"/>
      <c r="L18" s="42"/>
      <c r="M18" s="42"/>
    </row>
    <row r="19" spans="1:13" ht="12" customHeight="1">
      <c r="A19" s="13">
        <v>11</v>
      </c>
      <c r="B19" s="14" t="s">
        <v>312</v>
      </c>
      <c r="C19" s="15">
        <f>'Table 7 Local Revenue'!AE18</f>
        <v>1347917</v>
      </c>
      <c r="D19" s="15">
        <f>'Table 7 Local Revenue'!H18</f>
        <v>36409310</v>
      </c>
      <c r="E19" s="15">
        <f t="shared" si="1"/>
        <v>683413</v>
      </c>
      <c r="F19" s="380">
        <f>'Table 7 Local Revenue'!AI18</f>
        <v>1956193</v>
      </c>
      <c r="G19" s="15">
        <f>'Table 7 Local Revenue'!AM18</f>
        <v>97809650</v>
      </c>
      <c r="H19" s="15">
        <f t="shared" si="2"/>
        <v>877443</v>
      </c>
      <c r="I19" s="323">
        <f>'Table 7 Local Revenue'!AP18</f>
        <v>119492</v>
      </c>
      <c r="J19" s="15">
        <f t="shared" si="3"/>
        <v>1680348</v>
      </c>
      <c r="K19" s="42"/>
      <c r="L19" s="42"/>
      <c r="M19" s="42"/>
    </row>
    <row r="20" spans="1:13" ht="12.75">
      <c r="A20" s="13">
        <v>12</v>
      </c>
      <c r="B20" s="14" t="s">
        <v>313</v>
      </c>
      <c r="C20" s="15">
        <f>'Table 7 Local Revenue'!AE19</f>
        <v>11864295</v>
      </c>
      <c r="D20" s="15">
        <f>'Table 7 Local Revenue'!H19</f>
        <v>159726518.60000002</v>
      </c>
      <c r="E20" s="15">
        <f t="shared" si="1"/>
        <v>2998111</v>
      </c>
      <c r="F20" s="380">
        <f>'Table 7 Local Revenue'!AI19</f>
        <v>0</v>
      </c>
      <c r="G20" s="15">
        <f>'Table 7 Local Revenue'!AM19</f>
        <v>36736580.949999996</v>
      </c>
      <c r="H20" s="15">
        <f t="shared" si="2"/>
        <v>329561</v>
      </c>
      <c r="I20" s="323">
        <f>'Table 7 Local Revenue'!AP19</f>
        <v>1311219</v>
      </c>
      <c r="J20" s="15">
        <f t="shared" si="3"/>
        <v>4638891</v>
      </c>
      <c r="K20" s="42"/>
      <c r="L20" s="42"/>
      <c r="M20" s="42"/>
    </row>
    <row r="21" spans="1:13" ht="12.75">
      <c r="A21" s="13">
        <v>13</v>
      </c>
      <c r="B21" s="14" t="s">
        <v>314</v>
      </c>
      <c r="C21" s="15">
        <f>'Table 7 Local Revenue'!AE20</f>
        <v>831693</v>
      </c>
      <c r="D21" s="15">
        <f>'Table 7 Local Revenue'!H20</f>
        <v>30745465</v>
      </c>
      <c r="E21" s="15">
        <f t="shared" si="1"/>
        <v>577101</v>
      </c>
      <c r="F21" s="380">
        <f>'Table 7 Local Revenue'!AI20</f>
        <v>1905028</v>
      </c>
      <c r="G21" s="15">
        <f>'Table 7 Local Revenue'!AM20</f>
        <v>95251400</v>
      </c>
      <c r="H21" s="15">
        <f t="shared" si="2"/>
        <v>854493</v>
      </c>
      <c r="I21" s="323">
        <f>'Table 7 Local Revenue'!AP20</f>
        <v>94384</v>
      </c>
      <c r="J21" s="15">
        <f t="shared" si="3"/>
        <v>1525978</v>
      </c>
      <c r="K21" s="42"/>
      <c r="L21" s="42"/>
      <c r="M21" s="42"/>
    </row>
    <row r="22" spans="1:13" ht="12.75">
      <c r="A22" s="13">
        <v>14</v>
      </c>
      <c r="B22" s="14" t="s">
        <v>315</v>
      </c>
      <c r="C22" s="15">
        <f>'Table 7 Local Revenue'!AE21</f>
        <v>3808764</v>
      </c>
      <c r="D22" s="15">
        <f>'Table 7 Local Revenue'!H21</f>
        <v>85979627</v>
      </c>
      <c r="E22" s="15">
        <f t="shared" si="1"/>
        <v>1613861</v>
      </c>
      <c r="F22" s="380">
        <f>'Table 7 Local Revenue'!AI21</f>
        <v>3391776</v>
      </c>
      <c r="G22" s="15">
        <f>'Table 7 Local Revenue'!AM21</f>
        <v>162353895</v>
      </c>
      <c r="H22" s="15">
        <f t="shared" si="2"/>
        <v>1456464</v>
      </c>
      <c r="I22" s="323">
        <f>'Table 7 Local Revenue'!AP21</f>
        <v>194570</v>
      </c>
      <c r="J22" s="15">
        <f t="shared" si="3"/>
        <v>3264895</v>
      </c>
      <c r="K22" s="42"/>
      <c r="L22" s="42"/>
      <c r="M22" s="42"/>
    </row>
    <row r="23" spans="1:13" ht="12.75">
      <c r="A23" s="19">
        <v>15</v>
      </c>
      <c r="B23" s="20" t="s">
        <v>316</v>
      </c>
      <c r="C23" s="21">
        <f>'Table 7 Local Revenue'!AE22</f>
        <v>4256949</v>
      </c>
      <c r="D23" s="21">
        <f>'Table 7 Local Revenue'!H22</f>
        <v>109893609</v>
      </c>
      <c r="E23" s="21">
        <f t="shared" si="1"/>
        <v>2062733</v>
      </c>
      <c r="F23" s="381">
        <f>'Table 7 Local Revenue'!AI22</f>
        <v>4665182</v>
      </c>
      <c r="G23" s="21">
        <f>'Table 7 Local Revenue'!AM22</f>
        <v>233259100</v>
      </c>
      <c r="H23" s="21">
        <f t="shared" si="2"/>
        <v>2092549</v>
      </c>
      <c r="I23" s="324">
        <f>'Table 7 Local Revenue'!AP22</f>
        <v>221528</v>
      </c>
      <c r="J23" s="21">
        <f t="shared" si="3"/>
        <v>4376810</v>
      </c>
      <c r="K23" s="42"/>
      <c r="L23" s="42"/>
      <c r="M23" s="42"/>
    </row>
    <row r="24" spans="1:13" ht="12.75">
      <c r="A24" s="13">
        <v>16</v>
      </c>
      <c r="B24" s="14" t="s">
        <v>317</v>
      </c>
      <c r="C24" s="15">
        <f>'Table 7 Local Revenue'!AE23</f>
        <v>15821975</v>
      </c>
      <c r="D24" s="15">
        <f>'Table 7 Local Revenue'!H23</f>
        <v>208468317.20000002</v>
      </c>
      <c r="E24" s="15">
        <f t="shared" si="1"/>
        <v>3913008</v>
      </c>
      <c r="F24" s="380">
        <f>'Table 7 Local Revenue'!AI23</f>
        <v>13965357</v>
      </c>
      <c r="G24" s="15">
        <f>'Table 7 Local Revenue'!AM23</f>
        <v>558614280</v>
      </c>
      <c r="H24" s="15">
        <f t="shared" si="2"/>
        <v>5011284</v>
      </c>
      <c r="I24" s="323">
        <f>'Table 7 Local Revenue'!AP23</f>
        <v>647712</v>
      </c>
      <c r="J24" s="15">
        <f t="shared" si="3"/>
        <v>9572004</v>
      </c>
      <c r="K24" s="42"/>
      <c r="L24" s="42"/>
      <c r="M24" s="42"/>
    </row>
    <row r="25" spans="1:10" ht="12.75">
      <c r="A25" s="13">
        <v>17</v>
      </c>
      <c r="B25" s="14" t="s">
        <v>318</v>
      </c>
      <c r="C25" s="15">
        <f>'Table 7 Local Revenue'!AE24</f>
        <v>110349448</v>
      </c>
      <c r="D25" s="15">
        <f>'Table 7 Local Revenue'!H24</f>
        <v>2569861900</v>
      </c>
      <c r="E25" s="15">
        <f t="shared" si="1"/>
        <v>48237020</v>
      </c>
      <c r="F25" s="380">
        <f>'Table 7 Local Revenue'!AI24</f>
        <v>158700630</v>
      </c>
      <c r="G25" s="15">
        <f>'Table 7 Local Revenue'!AM24</f>
        <v>7935031500</v>
      </c>
      <c r="H25" s="15">
        <f t="shared" si="2"/>
        <v>71184533</v>
      </c>
      <c r="I25" s="323">
        <f>'Table 7 Local Revenue'!AP24</f>
        <v>4214231</v>
      </c>
      <c r="J25" s="15">
        <f t="shared" si="3"/>
        <v>123635784</v>
      </c>
    </row>
    <row r="26" spans="1:10" ht="12.75">
      <c r="A26" s="13">
        <v>18</v>
      </c>
      <c r="B26" s="14" t="s">
        <v>319</v>
      </c>
      <c r="C26" s="15">
        <f>'Table 7 Local Revenue'!AE25</f>
        <v>418167</v>
      </c>
      <c r="D26" s="15">
        <f>'Table 7 Local Revenue'!H25</f>
        <v>30732339</v>
      </c>
      <c r="E26" s="15">
        <f t="shared" si="1"/>
        <v>576855</v>
      </c>
      <c r="F26" s="380">
        <f>'Table 7 Local Revenue'!AI25</f>
        <v>1548241</v>
      </c>
      <c r="G26" s="15">
        <f>'Table 7 Local Revenue'!AM25</f>
        <v>51608033</v>
      </c>
      <c r="H26" s="15">
        <f t="shared" si="2"/>
        <v>462972</v>
      </c>
      <c r="I26" s="323">
        <f>'Table 7 Local Revenue'!AP25</f>
        <v>120089</v>
      </c>
      <c r="J26" s="15">
        <f t="shared" si="3"/>
        <v>1159916</v>
      </c>
    </row>
    <row r="27" spans="1:10" ht="12.75">
      <c r="A27" s="13">
        <v>19</v>
      </c>
      <c r="B27" s="89" t="s">
        <v>320</v>
      </c>
      <c r="C27" s="15">
        <f>'Table 7 Local Revenue'!AE26</f>
        <v>1845234</v>
      </c>
      <c r="D27" s="15">
        <f>'Table 7 Local Revenue'!H26</f>
        <v>86529935.80000001</v>
      </c>
      <c r="E27" s="15">
        <f t="shared" si="1"/>
        <v>1624191</v>
      </c>
      <c r="F27" s="380">
        <f>'Table 7 Local Revenue'!AI26</f>
        <v>2719379</v>
      </c>
      <c r="G27" s="15">
        <f>'Table 7 Local Revenue'!AM26</f>
        <v>135968950</v>
      </c>
      <c r="H27" s="15">
        <f t="shared" si="2"/>
        <v>1219767</v>
      </c>
      <c r="I27" s="323">
        <f>'Table 7 Local Revenue'!AP26</f>
        <v>79617</v>
      </c>
      <c r="J27" s="15">
        <f t="shared" si="3"/>
        <v>2923575</v>
      </c>
    </row>
    <row r="28" spans="1:10" ht="12.75">
      <c r="A28" s="19">
        <v>20</v>
      </c>
      <c r="B28" s="20" t="s">
        <v>321</v>
      </c>
      <c r="C28" s="21">
        <f>'Table 7 Local Revenue'!AE27</f>
        <v>4539144</v>
      </c>
      <c r="D28" s="21">
        <f>'Table 7 Local Revenue'!H27</f>
        <v>129555010</v>
      </c>
      <c r="E28" s="21">
        <f t="shared" si="1"/>
        <v>2431783</v>
      </c>
      <c r="F28" s="381">
        <f>'Table 7 Local Revenue'!AI27</f>
        <v>7350722</v>
      </c>
      <c r="G28" s="21">
        <f>'Table 7 Local Revenue'!AM27</f>
        <v>367536100</v>
      </c>
      <c r="H28" s="21">
        <f t="shared" si="2"/>
        <v>3297137</v>
      </c>
      <c r="I28" s="324">
        <f>'Table 7 Local Revenue'!AP27</f>
        <v>241993</v>
      </c>
      <c r="J28" s="21">
        <f t="shared" si="3"/>
        <v>5970913</v>
      </c>
    </row>
    <row r="29" spans="1:10" ht="12.75">
      <c r="A29" s="13">
        <v>21</v>
      </c>
      <c r="B29" s="14" t="s">
        <v>322</v>
      </c>
      <c r="C29" s="15">
        <f>'Table 7 Local Revenue'!AE28</f>
        <v>1237886</v>
      </c>
      <c r="D29" s="15">
        <f>'Table 7 Local Revenue'!H28</f>
        <v>53919351</v>
      </c>
      <c r="E29" s="15">
        <f t="shared" si="1"/>
        <v>1012081</v>
      </c>
      <c r="F29" s="380">
        <f>'Table 7 Local Revenue'!AI28</f>
        <v>4259201</v>
      </c>
      <c r="G29" s="15">
        <f>'Table 7 Local Revenue'!AM28</f>
        <v>212960050</v>
      </c>
      <c r="H29" s="15">
        <f t="shared" si="2"/>
        <v>1910448</v>
      </c>
      <c r="I29" s="323">
        <f>'Table 7 Local Revenue'!AP28</f>
        <v>77357</v>
      </c>
      <c r="J29" s="15">
        <f t="shared" si="3"/>
        <v>2999886</v>
      </c>
    </row>
    <row r="30" spans="1:10" ht="12.75">
      <c r="A30" s="13">
        <v>22</v>
      </c>
      <c r="B30" s="14" t="s">
        <v>323</v>
      </c>
      <c r="C30" s="15">
        <f>'Table 7 Local Revenue'!AE29</f>
        <v>1475474</v>
      </c>
      <c r="D30" s="15">
        <f>'Table 7 Local Revenue'!H29</f>
        <v>34184892</v>
      </c>
      <c r="E30" s="15">
        <f t="shared" si="1"/>
        <v>641660</v>
      </c>
      <c r="F30" s="380">
        <f>'Table 7 Local Revenue'!AI29</f>
        <v>1956127</v>
      </c>
      <c r="G30" s="15">
        <f>'Table 7 Local Revenue'!AM29</f>
        <v>97806350</v>
      </c>
      <c r="H30" s="15">
        <f t="shared" si="2"/>
        <v>877413</v>
      </c>
      <c r="I30" s="323">
        <f>'Table 7 Local Revenue'!AP29</f>
        <v>577653</v>
      </c>
      <c r="J30" s="15">
        <f t="shared" si="3"/>
        <v>2096726</v>
      </c>
    </row>
    <row r="31" spans="1:10" ht="12.75">
      <c r="A31" s="13">
        <v>23</v>
      </c>
      <c r="B31" s="14" t="s">
        <v>324</v>
      </c>
      <c r="C31" s="15">
        <f>'Table 7 Local Revenue'!AE30</f>
        <v>12969798</v>
      </c>
      <c r="D31" s="15">
        <f>'Table 7 Local Revenue'!H30</f>
        <v>351827945.70000005</v>
      </c>
      <c r="E31" s="15">
        <f t="shared" si="1"/>
        <v>6603908</v>
      </c>
      <c r="F31" s="380">
        <f>'Table 7 Local Revenue'!AI30</f>
        <v>28580307</v>
      </c>
      <c r="G31" s="15">
        <f>'Table 7 Local Revenue'!AM30</f>
        <v>1429015350</v>
      </c>
      <c r="H31" s="15">
        <f t="shared" si="2"/>
        <v>12819582</v>
      </c>
      <c r="I31" s="323">
        <f>'Table 7 Local Revenue'!AP30</f>
        <v>664776</v>
      </c>
      <c r="J31" s="15">
        <f t="shared" si="3"/>
        <v>20088266</v>
      </c>
    </row>
    <row r="32" spans="1:10" ht="12.75">
      <c r="A32" s="13">
        <v>24</v>
      </c>
      <c r="B32" s="14" t="s">
        <v>325</v>
      </c>
      <c r="C32" s="15">
        <f>'Table 7 Local Revenue'!AE31</f>
        <v>13507105</v>
      </c>
      <c r="D32" s="15">
        <f>'Table 7 Local Revenue'!H31</f>
        <v>359786641</v>
      </c>
      <c r="E32" s="15">
        <f t="shared" si="1"/>
        <v>6753295</v>
      </c>
      <c r="F32" s="380">
        <f>'Table 7 Local Revenue'!AI31</f>
        <v>15702168</v>
      </c>
      <c r="G32" s="15">
        <f>'Table 7 Local Revenue'!AM31</f>
        <v>785108400</v>
      </c>
      <c r="H32" s="15">
        <f t="shared" si="2"/>
        <v>7043145</v>
      </c>
      <c r="I32" s="323">
        <f>'Table 7 Local Revenue'!AP31</f>
        <v>161448</v>
      </c>
      <c r="J32" s="15">
        <f t="shared" si="3"/>
        <v>13957888</v>
      </c>
    </row>
    <row r="33" spans="1:10" ht="12.75">
      <c r="A33" s="19">
        <v>25</v>
      </c>
      <c r="B33" s="20" t="s">
        <v>326</v>
      </c>
      <c r="C33" s="21">
        <f>'Table 7 Local Revenue'!AE32</f>
        <v>4148364</v>
      </c>
      <c r="D33" s="21">
        <f>'Table 7 Local Revenue'!H32</f>
        <v>139452819</v>
      </c>
      <c r="E33" s="21">
        <f t="shared" si="1"/>
        <v>2617568</v>
      </c>
      <c r="F33" s="381">
        <f>'Table 7 Local Revenue'!AI32</f>
        <v>7852340</v>
      </c>
      <c r="G33" s="21">
        <f>'Table 7 Local Revenue'!AM32</f>
        <v>261744667</v>
      </c>
      <c r="H33" s="21">
        <f t="shared" si="2"/>
        <v>2348090</v>
      </c>
      <c r="I33" s="324">
        <f>'Table 7 Local Revenue'!AP32</f>
        <v>92913</v>
      </c>
      <c r="J33" s="21">
        <f t="shared" si="3"/>
        <v>5058571</v>
      </c>
    </row>
    <row r="34" spans="1:10" ht="12.75">
      <c r="A34" s="13">
        <v>26</v>
      </c>
      <c r="B34" s="14" t="s">
        <v>327</v>
      </c>
      <c r="C34" s="15">
        <f>'Table 7 Local Revenue'!AE33</f>
        <v>57838540</v>
      </c>
      <c r="D34" s="15">
        <f>'Table 7 Local Revenue'!H33</f>
        <v>2562180783.8</v>
      </c>
      <c r="E34" s="15">
        <f t="shared" si="1"/>
        <v>48092843</v>
      </c>
      <c r="F34" s="380">
        <f>'Table 7 Local Revenue'!AI33</f>
        <v>186384740</v>
      </c>
      <c r="G34" s="15">
        <f>'Table 7 Local Revenue'!AM33</f>
        <v>9319237000</v>
      </c>
      <c r="H34" s="15">
        <f t="shared" si="2"/>
        <v>83602130</v>
      </c>
      <c r="I34" s="323">
        <f>'Table 7 Local Revenue'!AP33</f>
        <v>2270540</v>
      </c>
      <c r="J34" s="15">
        <f t="shared" si="3"/>
        <v>133965513</v>
      </c>
    </row>
    <row r="35" spans="1:10" ht="12.75">
      <c r="A35" s="13">
        <v>27</v>
      </c>
      <c r="B35" s="14" t="s">
        <v>328</v>
      </c>
      <c r="C35" s="15">
        <f>'Table 7 Local Revenue'!AE34</f>
        <v>6027276</v>
      </c>
      <c r="D35" s="15">
        <f>'Table 7 Local Revenue'!H34</f>
        <v>131909810</v>
      </c>
      <c r="E35" s="15">
        <f t="shared" si="1"/>
        <v>2475984</v>
      </c>
      <c r="F35" s="380">
        <f>'Table 7 Local Revenue'!AI34</f>
        <v>10460376</v>
      </c>
      <c r="G35" s="15">
        <f>'Table 7 Local Revenue'!AM34</f>
        <v>418415040</v>
      </c>
      <c r="H35" s="15">
        <f t="shared" si="2"/>
        <v>3753568</v>
      </c>
      <c r="I35" s="323">
        <f>'Table 7 Local Revenue'!AP34</f>
        <v>317047</v>
      </c>
      <c r="J35" s="15">
        <f t="shared" si="3"/>
        <v>6546599</v>
      </c>
    </row>
    <row r="36" spans="1:10" ht="12.75">
      <c r="A36" s="13">
        <v>28</v>
      </c>
      <c r="B36" s="14" t="s">
        <v>329</v>
      </c>
      <c r="C36" s="15">
        <f>'Table 7 Local Revenue'!AE35</f>
        <v>37958447</v>
      </c>
      <c r="D36" s="15">
        <f>'Table 7 Local Revenue'!H35</f>
        <v>1159403530</v>
      </c>
      <c r="E36" s="15">
        <f t="shared" si="1"/>
        <v>21762325</v>
      </c>
      <c r="F36" s="380">
        <f>'Table 7 Local Revenue'!AI35</f>
        <v>101570085</v>
      </c>
      <c r="G36" s="15">
        <f>'Table 7 Local Revenue'!AM35</f>
        <v>5078504250</v>
      </c>
      <c r="H36" s="15">
        <f t="shared" si="2"/>
        <v>45558855</v>
      </c>
      <c r="I36" s="323">
        <f>'Table 7 Local Revenue'!AP35</f>
        <v>2231352</v>
      </c>
      <c r="J36" s="15">
        <f t="shared" si="3"/>
        <v>69552532</v>
      </c>
    </row>
    <row r="37" spans="1:10" ht="12.75">
      <c r="A37" s="13">
        <v>29</v>
      </c>
      <c r="B37" s="14" t="s">
        <v>330</v>
      </c>
      <c r="C37" s="15">
        <f>'Table 7 Local Revenue'!AE36</f>
        <v>21642251</v>
      </c>
      <c r="D37" s="15">
        <f>'Table 7 Local Revenue'!H36</f>
        <v>506778346.8</v>
      </c>
      <c r="E37" s="15">
        <f t="shared" si="1"/>
        <v>9512370</v>
      </c>
      <c r="F37" s="380">
        <f>'Table 7 Local Revenue'!AI36</f>
        <v>28939433</v>
      </c>
      <c r="G37" s="15">
        <f>'Table 7 Local Revenue'!AM36</f>
        <v>1446971650</v>
      </c>
      <c r="H37" s="15">
        <f t="shared" si="2"/>
        <v>12980667</v>
      </c>
      <c r="I37" s="323">
        <f>'Table 7 Local Revenue'!AP36</f>
        <v>1221290</v>
      </c>
      <c r="J37" s="15">
        <f t="shared" si="3"/>
        <v>23714327</v>
      </c>
    </row>
    <row r="38" spans="1:10" ht="12.75">
      <c r="A38" s="19">
        <v>30</v>
      </c>
      <c r="B38" s="20" t="s">
        <v>331</v>
      </c>
      <c r="C38" s="21">
        <f>'Table 7 Local Revenue'!AE37</f>
        <v>2338897</v>
      </c>
      <c r="D38" s="21">
        <f>'Table 7 Local Revenue'!H37</f>
        <v>45703688</v>
      </c>
      <c r="E38" s="21">
        <f t="shared" si="1"/>
        <v>857871</v>
      </c>
      <c r="F38" s="381">
        <f>'Table 7 Local Revenue'!AI37</f>
        <v>4087727</v>
      </c>
      <c r="G38" s="21">
        <f>'Table 7 Local Revenue'!AM37</f>
        <v>204386350</v>
      </c>
      <c r="H38" s="21">
        <f t="shared" si="2"/>
        <v>1833534</v>
      </c>
      <c r="I38" s="324">
        <f>'Table 7 Local Revenue'!AP37</f>
        <v>87042</v>
      </c>
      <c r="J38" s="21">
        <f t="shared" si="3"/>
        <v>2778447</v>
      </c>
    </row>
    <row r="39" spans="1:10" ht="12.75">
      <c r="A39" s="13">
        <v>31</v>
      </c>
      <c r="B39" s="14" t="s">
        <v>332</v>
      </c>
      <c r="C39" s="15">
        <f>'Table 7 Local Revenue'!AE38</f>
        <v>14535368</v>
      </c>
      <c r="D39" s="15">
        <f>'Table 7 Local Revenue'!H38</f>
        <v>245105589.3</v>
      </c>
      <c r="E39" s="15">
        <f t="shared" si="1"/>
        <v>4600700</v>
      </c>
      <c r="F39" s="380">
        <f>'Table 7 Local Revenue'!AI38</f>
        <v>17172180</v>
      </c>
      <c r="G39" s="15">
        <f>'Table 7 Local Revenue'!AM38</f>
        <v>858609000</v>
      </c>
      <c r="H39" s="15">
        <f t="shared" si="2"/>
        <v>7702513</v>
      </c>
      <c r="I39" s="323">
        <f>'Table 7 Local Revenue'!AP38</f>
        <v>298688</v>
      </c>
      <c r="J39" s="15">
        <f t="shared" si="3"/>
        <v>12601901</v>
      </c>
    </row>
    <row r="40" spans="1:10" ht="12.75">
      <c r="A40" s="13">
        <v>32</v>
      </c>
      <c r="B40" s="14" t="s">
        <v>333</v>
      </c>
      <c r="C40" s="15">
        <f>'Table 7 Local Revenue'!AE39</f>
        <v>12426686</v>
      </c>
      <c r="D40" s="15">
        <f>'Table 7 Local Revenue'!H39</f>
        <v>269041839</v>
      </c>
      <c r="E40" s="15">
        <f t="shared" si="1"/>
        <v>5049990</v>
      </c>
      <c r="F40" s="380">
        <f>'Table 7 Local Revenue'!AI39</f>
        <v>33266201.89</v>
      </c>
      <c r="G40" s="15">
        <f>'Table 7 Local Revenue'!AM39</f>
        <v>1330648076</v>
      </c>
      <c r="H40" s="15">
        <f t="shared" si="2"/>
        <v>11937137</v>
      </c>
      <c r="I40" s="323">
        <f>'Table 7 Local Revenue'!AP39</f>
        <v>869150</v>
      </c>
      <c r="J40" s="15">
        <f t="shared" si="3"/>
        <v>17856277</v>
      </c>
    </row>
    <row r="41" spans="1:10" ht="12.75">
      <c r="A41" s="13">
        <v>33</v>
      </c>
      <c r="B41" s="14" t="s">
        <v>334</v>
      </c>
      <c r="C41" s="15">
        <f>'Table 7 Local Revenue'!AE40</f>
        <v>1814488</v>
      </c>
      <c r="D41" s="15">
        <f>'Table 7 Local Revenue'!H40</f>
        <v>45851466</v>
      </c>
      <c r="E41" s="15">
        <f aca="true" t="shared" si="4" ref="E41:E72">ROUND(D41*$E$6/1000,0)</f>
        <v>860645</v>
      </c>
      <c r="F41" s="380">
        <f>'Table 7 Local Revenue'!AI40</f>
        <v>3960372</v>
      </c>
      <c r="G41" s="15">
        <f>'Table 7 Local Revenue'!AM40</f>
        <v>104236873.99999999</v>
      </c>
      <c r="H41" s="15">
        <f aca="true" t="shared" si="5" ref="H41:H72">ROUND(G41*$H$6,0)</f>
        <v>935101</v>
      </c>
      <c r="I41" s="323">
        <f>'Table 7 Local Revenue'!AP40</f>
        <v>51623</v>
      </c>
      <c r="J41" s="15">
        <f aca="true" t="shared" si="6" ref="J41:J72">E41+H41+I41</f>
        <v>1847369</v>
      </c>
    </row>
    <row r="42" spans="1:10" ht="12.75">
      <c r="A42" s="13">
        <v>34</v>
      </c>
      <c r="B42" s="14" t="s">
        <v>335</v>
      </c>
      <c r="C42" s="15">
        <f>'Table 7 Local Revenue'!AE41</f>
        <v>5401252</v>
      </c>
      <c r="D42" s="15">
        <f>'Table 7 Local Revenue'!H41</f>
        <v>137265164</v>
      </c>
      <c r="E42" s="15">
        <f t="shared" si="4"/>
        <v>2576505</v>
      </c>
      <c r="F42" s="380">
        <f>'Table 7 Local Revenue'!AI41</f>
        <v>5955413</v>
      </c>
      <c r="G42" s="15">
        <f>'Table 7 Local Revenue'!AM41</f>
        <v>297770650</v>
      </c>
      <c r="H42" s="15">
        <f t="shared" si="5"/>
        <v>2671277</v>
      </c>
      <c r="I42" s="323">
        <f>'Table 7 Local Revenue'!AP41</f>
        <v>325690</v>
      </c>
      <c r="J42" s="15">
        <f t="shared" si="6"/>
        <v>5573472</v>
      </c>
    </row>
    <row r="43" spans="1:10" ht="12.75">
      <c r="A43" s="19">
        <v>35</v>
      </c>
      <c r="B43" s="20" t="s">
        <v>336</v>
      </c>
      <c r="C43" s="21">
        <f>'Table 7 Local Revenue'!AE42</f>
        <v>6594015</v>
      </c>
      <c r="D43" s="21">
        <f>'Table 7 Local Revenue'!H42</f>
        <v>178740111</v>
      </c>
      <c r="E43" s="21">
        <f t="shared" si="4"/>
        <v>3355001</v>
      </c>
      <c r="F43" s="381">
        <f>'Table 7 Local Revenue'!AI42</f>
        <v>12157467</v>
      </c>
      <c r="G43" s="21">
        <f>'Table 7 Local Revenue'!AM42</f>
        <v>607873350</v>
      </c>
      <c r="H43" s="21">
        <f t="shared" si="5"/>
        <v>5453183</v>
      </c>
      <c r="I43" s="324">
        <f>'Table 7 Local Revenue'!AP42</f>
        <v>645251</v>
      </c>
      <c r="J43" s="21">
        <f t="shared" si="6"/>
        <v>9453435</v>
      </c>
    </row>
    <row r="44" spans="1:10" s="95" customFormat="1" ht="12.75">
      <c r="A44" s="126">
        <v>36</v>
      </c>
      <c r="B44" s="101" t="s">
        <v>337</v>
      </c>
      <c r="C44" s="97">
        <f>'Table 7 Local Revenue'!AE43</f>
        <v>89527587</v>
      </c>
      <c r="D44" s="97">
        <f>'Table 7 Local Revenue'!H43</f>
        <v>2030751671.3000002</v>
      </c>
      <c r="E44" s="97">
        <f t="shared" si="4"/>
        <v>38117771</v>
      </c>
      <c r="F44" s="382">
        <f>'Table 7 Local Revenue'!AI43</f>
        <v>87495865</v>
      </c>
      <c r="G44" s="97">
        <f>'Table 7 Local Revenue'!AM43</f>
        <v>5833057667</v>
      </c>
      <c r="H44" s="97">
        <f t="shared" si="5"/>
        <v>52327894</v>
      </c>
      <c r="I44" s="209">
        <f>'Table 7 Local Revenue'!AP43</f>
        <v>2595155</v>
      </c>
      <c r="J44" s="97">
        <f t="shared" si="6"/>
        <v>93040820</v>
      </c>
    </row>
    <row r="45" spans="1:10" s="95" customFormat="1" ht="12.75">
      <c r="A45" s="126">
        <v>37</v>
      </c>
      <c r="B45" s="101" t="s">
        <v>338</v>
      </c>
      <c r="C45" s="97">
        <f>'Table 7 Local Revenue'!AE44</f>
        <v>16853349</v>
      </c>
      <c r="D45" s="97">
        <f>'Table 7 Local Revenue'!H44</f>
        <v>431199516</v>
      </c>
      <c r="E45" s="97">
        <f t="shared" si="4"/>
        <v>8093734</v>
      </c>
      <c r="F45" s="382">
        <f>'Table 7 Local Revenue'!AI44</f>
        <v>37052593</v>
      </c>
      <c r="G45" s="97">
        <f>'Table 7 Local Revenue'!AM44</f>
        <v>1235086433</v>
      </c>
      <c r="H45" s="97">
        <f t="shared" si="5"/>
        <v>11079862</v>
      </c>
      <c r="I45" s="209">
        <f>'Table 7 Local Revenue'!AP44</f>
        <v>840839</v>
      </c>
      <c r="J45" s="97">
        <f t="shared" si="6"/>
        <v>20014435</v>
      </c>
    </row>
    <row r="46" spans="1:10" s="95" customFormat="1" ht="12.75">
      <c r="A46" s="126">
        <v>38</v>
      </c>
      <c r="B46" s="101" t="s">
        <v>339</v>
      </c>
      <c r="C46" s="97">
        <f>'Table 7 Local Revenue'!AE45</f>
        <v>14799804</v>
      </c>
      <c r="D46" s="97">
        <f>'Table 7 Local Revenue'!H45</f>
        <v>614657499.5</v>
      </c>
      <c r="E46" s="97">
        <f t="shared" si="4"/>
        <v>11537292</v>
      </c>
      <c r="F46" s="382">
        <f>'Table 7 Local Revenue'!AI45</f>
        <v>16571240</v>
      </c>
      <c r="G46" s="97">
        <f>'Table 7 Local Revenue'!AM45</f>
        <v>828562000</v>
      </c>
      <c r="H46" s="97">
        <f t="shared" si="5"/>
        <v>7432963</v>
      </c>
      <c r="I46" s="209">
        <f>'Table 7 Local Revenue'!AP45</f>
        <v>268967</v>
      </c>
      <c r="J46" s="97">
        <f t="shared" si="6"/>
        <v>19239222</v>
      </c>
    </row>
    <row r="47" spans="1:10" s="95" customFormat="1" ht="12.75">
      <c r="A47" s="126">
        <v>39</v>
      </c>
      <c r="B47" s="101" t="s">
        <v>340</v>
      </c>
      <c r="C47" s="97">
        <f>'Table 7 Local Revenue'!AE46</f>
        <v>5124936</v>
      </c>
      <c r="D47" s="97">
        <f>'Table 7 Local Revenue'!H46</f>
        <v>275173574</v>
      </c>
      <c r="E47" s="97">
        <f t="shared" si="4"/>
        <v>5165084</v>
      </c>
      <c r="F47" s="382">
        <f>'Table 7 Local Revenue'!AI46</f>
        <v>7181653</v>
      </c>
      <c r="G47" s="97">
        <f>'Table 7 Local Revenue'!AM46</f>
        <v>359082650</v>
      </c>
      <c r="H47" s="97">
        <f t="shared" si="5"/>
        <v>3221302</v>
      </c>
      <c r="I47" s="209">
        <f>'Table 7 Local Revenue'!AP46</f>
        <v>208818</v>
      </c>
      <c r="J47" s="97">
        <f t="shared" si="6"/>
        <v>8595204</v>
      </c>
    </row>
    <row r="48" spans="1:10" s="95" customFormat="1" ht="12.75">
      <c r="A48" s="127">
        <v>40</v>
      </c>
      <c r="B48" s="102" t="s">
        <v>341</v>
      </c>
      <c r="C48" s="98">
        <f>'Table 7 Local Revenue'!AE47</f>
        <v>26764886</v>
      </c>
      <c r="D48" s="98">
        <f>'Table 7 Local Revenue'!H47</f>
        <v>549087869</v>
      </c>
      <c r="E48" s="98">
        <f t="shared" si="4"/>
        <v>10306531</v>
      </c>
      <c r="F48" s="383">
        <f>'Table 7 Local Revenue'!AI47</f>
        <v>36983433</v>
      </c>
      <c r="G48" s="98">
        <f>'Table 7 Local Revenue'!AM47</f>
        <v>2465562200</v>
      </c>
      <c r="H48" s="98">
        <f t="shared" si="5"/>
        <v>22118361</v>
      </c>
      <c r="I48" s="210">
        <f>'Table 7 Local Revenue'!AP47</f>
        <v>1319510</v>
      </c>
      <c r="J48" s="21">
        <f t="shared" si="6"/>
        <v>33744402</v>
      </c>
    </row>
    <row r="49" spans="1:10" s="95" customFormat="1" ht="12.75">
      <c r="A49" s="126">
        <v>41</v>
      </c>
      <c r="B49" s="101" t="s">
        <v>342</v>
      </c>
      <c r="C49" s="97">
        <f>'Table 7 Local Revenue'!AE48</f>
        <v>2574909</v>
      </c>
      <c r="D49" s="97">
        <f>'Table 7 Local Revenue'!H48</f>
        <v>31800186.000000004</v>
      </c>
      <c r="E49" s="97">
        <f t="shared" si="4"/>
        <v>596898</v>
      </c>
      <c r="F49" s="382">
        <f>'Table 7 Local Revenue'!AI48</f>
        <v>2336282</v>
      </c>
      <c r="G49" s="97">
        <f>'Table 7 Local Revenue'!AM48</f>
        <v>106974264.99999999</v>
      </c>
      <c r="H49" s="97">
        <f t="shared" si="5"/>
        <v>959658</v>
      </c>
      <c r="I49" s="209">
        <f>'Table 7 Local Revenue'!AP48</f>
        <v>55230</v>
      </c>
      <c r="J49" s="97">
        <f t="shared" si="6"/>
        <v>1611786</v>
      </c>
    </row>
    <row r="50" spans="1:10" s="95" customFormat="1" ht="12.75">
      <c r="A50" s="126">
        <v>42</v>
      </c>
      <c r="B50" s="101" t="s">
        <v>343</v>
      </c>
      <c r="C50" s="97">
        <f>'Table 7 Local Revenue'!AE49</f>
        <v>2762365</v>
      </c>
      <c r="D50" s="97">
        <f>'Table 7 Local Revenue'!H49</f>
        <v>69871897</v>
      </c>
      <c r="E50" s="97">
        <f t="shared" si="4"/>
        <v>1311515</v>
      </c>
      <c r="F50" s="382">
        <f>'Table 7 Local Revenue'!AI49</f>
        <v>5447094</v>
      </c>
      <c r="G50" s="97">
        <f>'Table 7 Local Revenue'!AM49</f>
        <v>272354700</v>
      </c>
      <c r="H50" s="97">
        <f t="shared" si="5"/>
        <v>2443272</v>
      </c>
      <c r="I50" s="209">
        <f>'Table 7 Local Revenue'!AP49</f>
        <v>224783</v>
      </c>
      <c r="J50" s="97">
        <f t="shared" si="6"/>
        <v>3979570</v>
      </c>
    </row>
    <row r="51" spans="1:10" s="95" customFormat="1" ht="12.75">
      <c r="A51" s="126">
        <v>43</v>
      </c>
      <c r="B51" s="101" t="s">
        <v>344</v>
      </c>
      <c r="C51" s="97">
        <f>'Table 7 Local Revenue'!AE50</f>
        <v>3518876</v>
      </c>
      <c r="D51" s="97">
        <f>'Table 7 Local Revenue'!H50</f>
        <v>84413115</v>
      </c>
      <c r="E51" s="97">
        <f t="shared" si="4"/>
        <v>1584458</v>
      </c>
      <c r="F51" s="382">
        <f>'Table 7 Local Revenue'!AI50</f>
        <v>6577999</v>
      </c>
      <c r="G51" s="97">
        <f>'Table 7 Local Revenue'!AM50</f>
        <v>263119960</v>
      </c>
      <c r="H51" s="97">
        <f t="shared" si="5"/>
        <v>2360428</v>
      </c>
      <c r="I51" s="209">
        <f>'Table 7 Local Revenue'!AP50</f>
        <v>158886</v>
      </c>
      <c r="J51" s="97">
        <f t="shared" si="6"/>
        <v>4103772</v>
      </c>
    </row>
    <row r="52" spans="1:10" s="95" customFormat="1" ht="12.75">
      <c r="A52" s="126">
        <v>44</v>
      </c>
      <c r="B52" s="101" t="s">
        <v>345</v>
      </c>
      <c r="C52" s="97">
        <f>'Table 7 Local Revenue'!AE51</f>
        <v>10448230</v>
      </c>
      <c r="D52" s="97">
        <f>'Table 7 Local Revenue'!H51</f>
        <v>230265193</v>
      </c>
      <c r="E52" s="97">
        <f t="shared" si="4"/>
        <v>4322141</v>
      </c>
      <c r="F52" s="382">
        <f>'Table 7 Local Revenue'!AI51</f>
        <v>11814389</v>
      </c>
      <c r="G52" s="97">
        <f>'Table 7 Local Revenue'!AM51</f>
        <v>590719450</v>
      </c>
      <c r="H52" s="97">
        <f t="shared" si="5"/>
        <v>5299297</v>
      </c>
      <c r="I52" s="209">
        <f>'Table 7 Local Revenue'!AP51</f>
        <v>343258</v>
      </c>
      <c r="J52" s="97">
        <f t="shared" si="6"/>
        <v>9964696</v>
      </c>
    </row>
    <row r="53" spans="1:10" ht="12.75">
      <c r="A53" s="19">
        <v>45</v>
      </c>
      <c r="B53" s="20" t="s">
        <v>346</v>
      </c>
      <c r="C53" s="21">
        <f>'Table 7 Local Revenue'!AE52</f>
        <v>52290908</v>
      </c>
      <c r="D53" s="21">
        <f>'Table 7 Local Revenue'!H52</f>
        <v>923211269</v>
      </c>
      <c r="E53" s="21">
        <f t="shared" si="4"/>
        <v>17328931</v>
      </c>
      <c r="F53" s="381">
        <f>'Table 7 Local Revenue'!AI52</f>
        <v>45159847</v>
      </c>
      <c r="G53" s="21">
        <f>'Table 7 Local Revenue'!AM52</f>
        <v>1505328233</v>
      </c>
      <c r="H53" s="21">
        <f t="shared" si="5"/>
        <v>13504179</v>
      </c>
      <c r="I53" s="324">
        <f>'Table 7 Local Revenue'!AP52</f>
        <v>286473</v>
      </c>
      <c r="J53" s="21">
        <f t="shared" si="6"/>
        <v>31119583</v>
      </c>
    </row>
    <row r="54" spans="1:10" ht="12.75">
      <c r="A54" s="13">
        <v>46</v>
      </c>
      <c r="B54" s="14" t="s">
        <v>347</v>
      </c>
      <c r="C54" s="15">
        <f>'Table 7 Local Revenue'!AE53</f>
        <v>683149</v>
      </c>
      <c r="D54" s="15">
        <f>'Table 7 Local Revenue'!H53</f>
        <v>41775173</v>
      </c>
      <c r="E54" s="15">
        <f t="shared" si="4"/>
        <v>784132</v>
      </c>
      <c r="F54" s="380">
        <f>'Table 7 Local Revenue'!AI53</f>
        <v>1369025</v>
      </c>
      <c r="G54" s="15">
        <f>'Table 7 Local Revenue'!AM53</f>
        <v>68451250</v>
      </c>
      <c r="H54" s="15">
        <f t="shared" si="5"/>
        <v>614071</v>
      </c>
      <c r="I54" s="323">
        <f>'Table 7 Local Revenue'!AP53</f>
        <v>33173</v>
      </c>
      <c r="J54" s="15">
        <f t="shared" si="6"/>
        <v>1431376</v>
      </c>
    </row>
    <row r="55" spans="1:10" ht="12.75">
      <c r="A55" s="13">
        <v>47</v>
      </c>
      <c r="B55" s="14" t="s">
        <v>348</v>
      </c>
      <c r="C55" s="15">
        <f>'Table 7 Local Revenue'!AE54</f>
        <v>14971827</v>
      </c>
      <c r="D55" s="15">
        <f>'Table 7 Local Revenue'!H54</f>
        <v>313599827</v>
      </c>
      <c r="E55" s="15">
        <f t="shared" si="4"/>
        <v>5886356</v>
      </c>
      <c r="F55" s="380">
        <f>'Table 7 Local Revenue'!AI54</f>
        <v>13276314</v>
      </c>
      <c r="G55" s="15">
        <f>'Table 7 Local Revenue'!AM54</f>
        <v>531052560</v>
      </c>
      <c r="H55" s="15">
        <f t="shared" si="5"/>
        <v>4764030</v>
      </c>
      <c r="I55" s="323">
        <f>'Table 7 Local Revenue'!AP54</f>
        <v>93415</v>
      </c>
      <c r="J55" s="15">
        <f t="shared" si="6"/>
        <v>10743801</v>
      </c>
    </row>
    <row r="56" spans="1:10" ht="12.75">
      <c r="A56" s="13">
        <v>48</v>
      </c>
      <c r="B56" s="14" t="s">
        <v>428</v>
      </c>
      <c r="C56" s="15">
        <f>'Table 7 Local Revenue'!AE55</f>
        <v>11641748</v>
      </c>
      <c r="D56" s="15">
        <f>'Table 7 Local Revenue'!H55</f>
        <v>269259690.70000005</v>
      </c>
      <c r="E56" s="15">
        <f t="shared" si="4"/>
        <v>5054079</v>
      </c>
      <c r="F56" s="380">
        <f>'Table 7 Local Revenue'!AI55</f>
        <v>22811641</v>
      </c>
      <c r="G56" s="15">
        <f>'Table 7 Local Revenue'!AM55</f>
        <v>935056259.9999999</v>
      </c>
      <c r="H56" s="15">
        <f t="shared" si="5"/>
        <v>8388315</v>
      </c>
      <c r="I56" s="323">
        <f>'Table 7 Local Revenue'!AP55</f>
        <v>237282</v>
      </c>
      <c r="J56" s="15">
        <f t="shared" si="6"/>
        <v>13679676</v>
      </c>
    </row>
    <row r="57" spans="1:10" ht="12.75">
      <c r="A57" s="13">
        <v>49</v>
      </c>
      <c r="B57" s="14" t="s">
        <v>349</v>
      </c>
      <c r="C57" s="15">
        <f>'Table 7 Local Revenue'!AE56</f>
        <v>8777938</v>
      </c>
      <c r="D57" s="15">
        <f>'Table 7 Local Revenue'!H56</f>
        <v>436275565.00000006</v>
      </c>
      <c r="E57" s="15">
        <f t="shared" si="4"/>
        <v>8189013</v>
      </c>
      <c r="F57" s="380">
        <f>'Table 7 Local Revenue'!AI56</f>
        <v>21370615</v>
      </c>
      <c r="G57" s="15">
        <f>'Table 7 Local Revenue'!AM56</f>
        <v>1068530750</v>
      </c>
      <c r="H57" s="15">
        <f t="shared" si="5"/>
        <v>9585704</v>
      </c>
      <c r="I57" s="323">
        <f>'Table 7 Local Revenue'!AP56</f>
        <v>671202</v>
      </c>
      <c r="J57" s="15">
        <f t="shared" si="6"/>
        <v>18445919</v>
      </c>
    </row>
    <row r="58" spans="1:10" ht="12.75">
      <c r="A58" s="19">
        <v>50</v>
      </c>
      <c r="B58" s="20" t="s">
        <v>350</v>
      </c>
      <c r="C58" s="21">
        <f>'Table 7 Local Revenue'!AE57</f>
        <v>5734377</v>
      </c>
      <c r="D58" s="21">
        <f>'Table 7 Local Revenue'!H57</f>
        <v>167272364</v>
      </c>
      <c r="E58" s="21">
        <f t="shared" si="4"/>
        <v>3139749</v>
      </c>
      <c r="F58" s="381">
        <f>'Table 7 Local Revenue'!AI57</f>
        <v>12101536</v>
      </c>
      <c r="G58" s="21">
        <f>'Table 7 Local Revenue'!AM57</f>
        <v>605076800</v>
      </c>
      <c r="H58" s="21">
        <f t="shared" si="5"/>
        <v>5428096</v>
      </c>
      <c r="I58" s="324">
        <f>'Table 7 Local Revenue'!AP57</f>
        <v>602377</v>
      </c>
      <c r="J58" s="21">
        <f t="shared" si="6"/>
        <v>9170222</v>
      </c>
    </row>
    <row r="59" spans="1:10" ht="12.75">
      <c r="A59" s="13">
        <v>51</v>
      </c>
      <c r="B59" s="14" t="s">
        <v>351</v>
      </c>
      <c r="C59" s="15">
        <f>'Table 7 Local Revenue'!AE58</f>
        <v>14326711</v>
      </c>
      <c r="D59" s="15">
        <f>'Table 7 Local Revenue'!H58</f>
        <v>359837528.6</v>
      </c>
      <c r="E59" s="15">
        <f t="shared" si="4"/>
        <v>6754250</v>
      </c>
      <c r="F59" s="380">
        <f>'Table 7 Local Revenue'!AI58</f>
        <v>18099713</v>
      </c>
      <c r="G59" s="15">
        <f>'Table 7 Local Revenue'!AM58</f>
        <v>1034269314</v>
      </c>
      <c r="H59" s="15">
        <f t="shared" si="5"/>
        <v>9278347</v>
      </c>
      <c r="I59" s="323">
        <f>'Table 7 Local Revenue'!AP58</f>
        <v>836895</v>
      </c>
      <c r="J59" s="15">
        <f t="shared" si="6"/>
        <v>16869492</v>
      </c>
    </row>
    <row r="60" spans="1:10" ht="12.75">
      <c r="A60" s="13">
        <v>52</v>
      </c>
      <c r="B60" s="14" t="s">
        <v>352</v>
      </c>
      <c r="C60" s="15">
        <f>'Table 7 Local Revenue'!AE59</f>
        <v>83048454</v>
      </c>
      <c r="D60" s="15">
        <f>'Table 7 Local Revenue'!H59</f>
        <v>1070017883.0000001</v>
      </c>
      <c r="E60" s="15">
        <f t="shared" si="4"/>
        <v>20084532</v>
      </c>
      <c r="F60" s="380">
        <f>'Table 7 Local Revenue'!AI59</f>
        <v>93281813</v>
      </c>
      <c r="G60" s="15">
        <f>'Table 7 Local Revenue'!AM59</f>
        <v>4664090650</v>
      </c>
      <c r="H60" s="15">
        <f t="shared" si="5"/>
        <v>41841184</v>
      </c>
      <c r="I60" s="323">
        <f>'Table 7 Local Revenue'!AP59</f>
        <v>2086894</v>
      </c>
      <c r="J60" s="15">
        <f t="shared" si="6"/>
        <v>64012610</v>
      </c>
    </row>
    <row r="61" spans="1:10" ht="12.75">
      <c r="A61" s="13">
        <v>53</v>
      </c>
      <c r="B61" s="14" t="s">
        <v>353</v>
      </c>
      <c r="C61" s="15">
        <f>'Table 7 Local Revenue'!AE60</f>
        <v>5579881</v>
      </c>
      <c r="D61" s="15">
        <f>'Table 7 Local Revenue'!H60</f>
        <v>375217842</v>
      </c>
      <c r="E61" s="15">
        <f t="shared" si="4"/>
        <v>7042943</v>
      </c>
      <c r="F61" s="380">
        <f>'Table 7 Local Revenue'!AI60</f>
        <v>32943491</v>
      </c>
      <c r="G61" s="15">
        <f>'Table 7 Local Revenue'!AM60</f>
        <v>1647174550</v>
      </c>
      <c r="H61" s="15">
        <f t="shared" si="5"/>
        <v>14776671</v>
      </c>
      <c r="I61" s="323">
        <f>'Table 7 Local Revenue'!AP60</f>
        <v>212891</v>
      </c>
      <c r="J61" s="15">
        <f t="shared" si="6"/>
        <v>22032505</v>
      </c>
    </row>
    <row r="62" spans="1:10" ht="12.75">
      <c r="A62" s="13">
        <v>54</v>
      </c>
      <c r="B62" s="14" t="s">
        <v>354</v>
      </c>
      <c r="C62" s="15">
        <f>'Table 7 Local Revenue'!AE61</f>
        <v>1316016</v>
      </c>
      <c r="D62" s="15">
        <f>'Table 7 Local Revenue'!H61</f>
        <v>40367464</v>
      </c>
      <c r="E62" s="15">
        <f t="shared" si="4"/>
        <v>757708</v>
      </c>
      <c r="F62" s="380">
        <f>'Table 7 Local Revenue'!AI61</f>
        <v>718613</v>
      </c>
      <c r="G62" s="15">
        <f>'Table 7 Local Revenue'!AM61</f>
        <v>47907533</v>
      </c>
      <c r="H62" s="15">
        <f t="shared" si="5"/>
        <v>429775</v>
      </c>
      <c r="I62" s="323">
        <f>'Table 7 Local Revenue'!AP61</f>
        <v>73144</v>
      </c>
      <c r="J62" s="15">
        <f t="shared" si="6"/>
        <v>1260627</v>
      </c>
    </row>
    <row r="63" spans="1:10" ht="12.75">
      <c r="A63" s="19">
        <v>55</v>
      </c>
      <c r="B63" s="20" t="s">
        <v>355</v>
      </c>
      <c r="C63" s="21">
        <f>'Table 7 Local Revenue'!AE62</f>
        <v>5529805</v>
      </c>
      <c r="D63" s="21">
        <f>'Table 7 Local Revenue'!H62</f>
        <v>585896338.5</v>
      </c>
      <c r="E63" s="21">
        <f t="shared" si="4"/>
        <v>10997437</v>
      </c>
      <c r="F63" s="381">
        <f>'Table 7 Local Revenue'!AI62</f>
        <v>50681690</v>
      </c>
      <c r="G63" s="21">
        <f>'Table 7 Local Revenue'!AM62</f>
        <v>2436619712</v>
      </c>
      <c r="H63" s="21">
        <f t="shared" si="5"/>
        <v>21858721</v>
      </c>
      <c r="I63" s="324">
        <f>'Table 7 Local Revenue'!AP62</f>
        <v>1190430</v>
      </c>
      <c r="J63" s="21">
        <f t="shared" si="6"/>
        <v>34046588</v>
      </c>
    </row>
    <row r="64" spans="1:10" ht="12.75">
      <c r="A64" s="13">
        <v>56</v>
      </c>
      <c r="B64" s="14" t="s">
        <v>356</v>
      </c>
      <c r="C64" s="15">
        <f>'Table 7 Local Revenue'!AE63</f>
        <v>2098434</v>
      </c>
      <c r="D64" s="15">
        <f>'Table 7 Local Revenue'!H63</f>
        <v>91964002</v>
      </c>
      <c r="E64" s="15">
        <f t="shared" si="4"/>
        <v>1726190</v>
      </c>
      <c r="F64" s="380">
        <f>'Table 7 Local Revenue'!AI63</f>
        <v>4441126</v>
      </c>
      <c r="G64" s="15">
        <f>'Table 7 Local Revenue'!AM63</f>
        <v>222056300</v>
      </c>
      <c r="H64" s="15">
        <f t="shared" si="5"/>
        <v>1992049</v>
      </c>
      <c r="I64" s="323">
        <f>'Table 7 Local Revenue'!AP63</f>
        <v>177725</v>
      </c>
      <c r="J64" s="15">
        <f t="shared" si="6"/>
        <v>3895964</v>
      </c>
    </row>
    <row r="65" spans="1:10" ht="12.75">
      <c r="A65" s="13">
        <v>57</v>
      </c>
      <c r="B65" s="14" t="s">
        <v>357</v>
      </c>
      <c r="C65" s="15">
        <f>'Table 7 Local Revenue'!AE64</f>
        <v>9689729</v>
      </c>
      <c r="D65" s="15">
        <f>'Table 7 Local Revenue'!H64</f>
        <v>249784270</v>
      </c>
      <c r="E65" s="15">
        <f t="shared" si="4"/>
        <v>4688520</v>
      </c>
      <c r="F65" s="380">
        <f>'Table 7 Local Revenue'!AI64</f>
        <v>8340650</v>
      </c>
      <c r="G65" s="15">
        <f>'Table 7 Local Revenue'!AM64</f>
        <v>834065000</v>
      </c>
      <c r="H65" s="15">
        <f t="shared" si="5"/>
        <v>7482330</v>
      </c>
      <c r="I65" s="323">
        <f>'Table 7 Local Revenue'!AP64</f>
        <v>4580113</v>
      </c>
      <c r="J65" s="15">
        <f t="shared" si="6"/>
        <v>16750963</v>
      </c>
    </row>
    <row r="66" spans="1:10" ht="12.75">
      <c r="A66" s="13">
        <v>58</v>
      </c>
      <c r="B66" s="14" t="s">
        <v>358</v>
      </c>
      <c r="C66" s="15">
        <f>'Table 7 Local Revenue'!AE65</f>
        <v>5003220</v>
      </c>
      <c r="D66" s="15">
        <f>'Table 7 Local Revenue'!H65</f>
        <v>104192582</v>
      </c>
      <c r="E66" s="15">
        <f t="shared" si="4"/>
        <v>1955724</v>
      </c>
      <c r="F66" s="380">
        <f>'Table 7 Local Revenue'!AI65</f>
        <v>9610440</v>
      </c>
      <c r="G66" s="15">
        <f>'Table 7 Local Revenue'!AM65</f>
        <v>480522000</v>
      </c>
      <c r="H66" s="15">
        <f t="shared" si="5"/>
        <v>4310724</v>
      </c>
      <c r="I66" s="323">
        <f>'Table 7 Local Revenue'!AP65</f>
        <v>565421</v>
      </c>
      <c r="J66" s="15">
        <f t="shared" si="6"/>
        <v>6831869</v>
      </c>
    </row>
    <row r="67" spans="1:10" ht="12.75">
      <c r="A67" s="13">
        <v>59</v>
      </c>
      <c r="B67" s="14" t="s">
        <v>359</v>
      </c>
      <c r="C67" s="15">
        <f>'Table 7 Local Revenue'!AE66</f>
        <v>3583027</v>
      </c>
      <c r="D67" s="15">
        <f>'Table 7 Local Revenue'!H66</f>
        <v>69439130</v>
      </c>
      <c r="E67" s="15">
        <f t="shared" si="4"/>
        <v>1303392</v>
      </c>
      <c r="F67" s="380">
        <f>'Table 7 Local Revenue'!AI66</f>
        <v>4648127</v>
      </c>
      <c r="G67" s="15">
        <f>'Table 7 Local Revenue'!AM66</f>
        <v>232406350</v>
      </c>
      <c r="H67" s="15">
        <f t="shared" si="5"/>
        <v>2084899</v>
      </c>
      <c r="I67" s="323">
        <f>'Table 7 Local Revenue'!AP66</f>
        <v>158127</v>
      </c>
      <c r="J67" s="15">
        <f t="shared" si="6"/>
        <v>3546418</v>
      </c>
    </row>
    <row r="68" spans="1:10" ht="12.75">
      <c r="A68" s="19">
        <v>60</v>
      </c>
      <c r="B68" s="20" t="s">
        <v>360</v>
      </c>
      <c r="C68" s="21">
        <f>'Table 7 Local Revenue'!AE67</f>
        <v>8320919</v>
      </c>
      <c r="D68" s="21">
        <f>'Table 7 Local Revenue'!H67</f>
        <v>160783595</v>
      </c>
      <c r="E68" s="21">
        <f t="shared" si="4"/>
        <v>3017953</v>
      </c>
      <c r="F68" s="381">
        <f>'Table 7 Local Revenue'!AI67</f>
        <v>14066619</v>
      </c>
      <c r="G68" s="21">
        <f>'Table 7 Local Revenue'!AM67</f>
        <v>660404648</v>
      </c>
      <c r="H68" s="21">
        <f t="shared" si="5"/>
        <v>5924437</v>
      </c>
      <c r="I68" s="324">
        <f>'Table 7 Local Revenue'!AP67</f>
        <v>387565</v>
      </c>
      <c r="J68" s="21">
        <f t="shared" si="6"/>
        <v>9329955</v>
      </c>
    </row>
    <row r="69" spans="1:10" ht="12.75">
      <c r="A69" s="13">
        <v>61</v>
      </c>
      <c r="B69" s="14" t="s">
        <v>361</v>
      </c>
      <c r="C69" s="15">
        <f>'Table 7 Local Revenue'!AE68</f>
        <v>10301554</v>
      </c>
      <c r="D69" s="15">
        <f>'Table 7 Local Revenue'!H68</f>
        <v>256680897.00000003</v>
      </c>
      <c r="E69" s="15">
        <f t="shared" si="4"/>
        <v>4817972</v>
      </c>
      <c r="F69" s="380">
        <f>'Table 7 Local Revenue'!AI68</f>
        <v>11696919</v>
      </c>
      <c r="G69" s="15">
        <f>'Table 7 Local Revenue'!AM68</f>
        <v>583954360</v>
      </c>
      <c r="H69" s="15">
        <f t="shared" si="5"/>
        <v>5238608</v>
      </c>
      <c r="I69" s="323">
        <f>'Table 7 Local Revenue'!AP68</f>
        <v>191973</v>
      </c>
      <c r="J69" s="15">
        <f t="shared" si="6"/>
        <v>10248553</v>
      </c>
    </row>
    <row r="70" spans="1:10" ht="12.75">
      <c r="A70" s="13">
        <v>62</v>
      </c>
      <c r="B70" s="14" t="s">
        <v>362</v>
      </c>
      <c r="C70" s="15">
        <f>'Table 7 Local Revenue'!AE69</f>
        <v>1291993</v>
      </c>
      <c r="D70" s="15">
        <f>'Table 7 Local Revenue'!H69</f>
        <v>44945397.2</v>
      </c>
      <c r="E70" s="15">
        <f t="shared" si="4"/>
        <v>843638</v>
      </c>
      <c r="F70" s="380">
        <f>'Table 7 Local Revenue'!AI69</f>
        <v>2337487</v>
      </c>
      <c r="G70" s="15">
        <f>'Table 7 Local Revenue'!AM69</f>
        <v>116874350</v>
      </c>
      <c r="H70" s="15">
        <f t="shared" si="5"/>
        <v>1048470</v>
      </c>
      <c r="I70" s="323">
        <f>'Table 7 Local Revenue'!AP69</f>
        <v>105491</v>
      </c>
      <c r="J70" s="15">
        <f t="shared" si="6"/>
        <v>1997599</v>
      </c>
    </row>
    <row r="71" spans="1:10" ht="12.75">
      <c r="A71" s="13">
        <v>63</v>
      </c>
      <c r="B71" s="14" t="s">
        <v>363</v>
      </c>
      <c r="C71" s="15">
        <f>'Table 7 Local Revenue'!AE70</f>
        <v>7378924</v>
      </c>
      <c r="D71" s="15">
        <f>'Table 7 Local Revenue'!H70</f>
        <v>273155585</v>
      </c>
      <c r="E71" s="15">
        <f t="shared" si="4"/>
        <v>5127206</v>
      </c>
      <c r="F71" s="380">
        <f>'Table 7 Local Revenue'!AI70</f>
        <v>3977389</v>
      </c>
      <c r="G71" s="15">
        <f>'Table 7 Local Revenue'!AM70</f>
        <v>198869450</v>
      </c>
      <c r="H71" s="15">
        <f t="shared" si="5"/>
        <v>1784042</v>
      </c>
      <c r="I71" s="323">
        <f>'Table 7 Local Revenue'!AP70</f>
        <v>119572</v>
      </c>
      <c r="J71" s="15">
        <f t="shared" si="6"/>
        <v>7030820</v>
      </c>
    </row>
    <row r="72" spans="1:10" ht="12.75">
      <c r="A72" s="13">
        <v>64</v>
      </c>
      <c r="B72" s="14" t="s">
        <v>364</v>
      </c>
      <c r="C72" s="15">
        <f>'Table 7 Local Revenue'!AE71</f>
        <v>2749042</v>
      </c>
      <c r="D72" s="15">
        <f>'Table 7 Local Revenue'!H71</f>
        <v>55360871</v>
      </c>
      <c r="E72" s="15">
        <f t="shared" si="4"/>
        <v>1039139</v>
      </c>
      <c r="F72" s="380">
        <f>'Table 7 Local Revenue'!AI71</f>
        <v>4123905</v>
      </c>
      <c r="G72" s="15">
        <f>'Table 7 Local Revenue'!AM71</f>
        <v>206195250</v>
      </c>
      <c r="H72" s="15">
        <f t="shared" si="5"/>
        <v>1849761</v>
      </c>
      <c r="I72" s="323">
        <f>'Table 7 Local Revenue'!AP71</f>
        <v>447925</v>
      </c>
      <c r="J72" s="15">
        <f t="shared" si="6"/>
        <v>3336825</v>
      </c>
    </row>
    <row r="73" spans="1:10" ht="12.75">
      <c r="A73" s="19">
        <v>65</v>
      </c>
      <c r="B73" s="20" t="s">
        <v>365</v>
      </c>
      <c r="C73" s="21">
        <f>'Table 7 Local Revenue'!AE72</f>
        <v>13319175</v>
      </c>
      <c r="D73" s="21">
        <f>'Table 7 Local Revenue'!H72</f>
        <v>326692694</v>
      </c>
      <c r="E73" s="21">
        <f>ROUND(D73*$E$6/1000,0)</f>
        <v>6132112</v>
      </c>
      <c r="F73" s="381">
        <f>'Table 7 Local Revenue'!AI72</f>
        <v>24568773</v>
      </c>
      <c r="G73" s="21">
        <f>'Table 7 Local Revenue'!AM72</f>
        <v>1228438650</v>
      </c>
      <c r="H73" s="21">
        <f>ROUND(G73*$H$6,0)</f>
        <v>11020225</v>
      </c>
      <c r="I73" s="324">
        <f>'Table 7 Local Revenue'!AP72</f>
        <v>315499</v>
      </c>
      <c r="J73" s="21">
        <f>E73+H73+I73</f>
        <v>17467836</v>
      </c>
    </row>
    <row r="74" spans="1:10" ht="12.75">
      <c r="A74" s="13">
        <v>66</v>
      </c>
      <c r="B74" s="14" t="s">
        <v>366</v>
      </c>
      <c r="C74" s="15">
        <f>'Table 7 Local Revenue'!AE73</f>
        <v>4074235</v>
      </c>
      <c r="D74" s="15">
        <f>'Table 7 Local Revenue'!H73</f>
        <v>67783529</v>
      </c>
      <c r="E74" s="15">
        <f>ROUND(D74*$E$6/1000,0)</f>
        <v>1272316</v>
      </c>
      <c r="F74" s="380">
        <f>'Table 7 Local Revenue'!AI73</f>
        <v>2953617</v>
      </c>
      <c r="G74" s="15">
        <f>'Table 7 Local Revenue'!AM73</f>
        <v>295361700</v>
      </c>
      <c r="H74" s="15">
        <f>ROUND(G74*$H$6,0)</f>
        <v>2649666</v>
      </c>
      <c r="I74" s="323">
        <f>'Table 7 Local Revenue'!AP73</f>
        <v>225351</v>
      </c>
      <c r="J74" s="15">
        <f>E74+H74+I74</f>
        <v>4147333</v>
      </c>
    </row>
    <row r="75" spans="1:10" ht="12.75">
      <c r="A75" s="13">
        <v>67</v>
      </c>
      <c r="B75" s="14" t="s">
        <v>135</v>
      </c>
      <c r="C75" s="15">
        <f>'Table 7 Local Revenue'!AE74</f>
        <v>11320993</v>
      </c>
      <c r="D75" s="15">
        <f>'Table 7 Local Revenue'!H74</f>
        <v>141936058</v>
      </c>
      <c r="E75" s="15">
        <f>ROUND(D75*$E$6/1000,0)</f>
        <v>2664179</v>
      </c>
      <c r="F75" s="380">
        <f>'Table 7 Local Revenue'!AI74</f>
        <v>8009025</v>
      </c>
      <c r="G75" s="15">
        <f>'Table 7 Local Revenue'!AM74</f>
        <v>400451250</v>
      </c>
      <c r="H75" s="15">
        <f>ROUND(G75*$H$6,0)</f>
        <v>3592416</v>
      </c>
      <c r="I75" s="323">
        <f>'Table 7 Local Revenue'!AP74</f>
        <v>73948</v>
      </c>
      <c r="J75" s="15">
        <f>E75+H75+I75</f>
        <v>6330543</v>
      </c>
    </row>
    <row r="76" spans="1:10" ht="12.75">
      <c r="A76" s="13">
        <v>68</v>
      </c>
      <c r="B76" s="14" t="s">
        <v>132</v>
      </c>
      <c r="C76" s="15">
        <f>'Table 7 Local Revenue'!AE75</f>
        <v>1392090</v>
      </c>
      <c r="D76" s="15">
        <f>'Table 7 Local Revenue'!H75</f>
        <v>33197054.000000004</v>
      </c>
      <c r="E76" s="15">
        <f>ROUND(D76*$E$6/1000,0)</f>
        <v>623118</v>
      </c>
      <c r="F76" s="380">
        <f>'Table 7 Local Revenue'!AI75</f>
        <v>5191471</v>
      </c>
      <c r="G76" s="15">
        <f>'Table 7 Local Revenue'!AM75</f>
        <v>188971565</v>
      </c>
      <c r="H76" s="15">
        <f>ROUND(G76*$H$6,0)</f>
        <v>1695249</v>
      </c>
      <c r="I76" s="323">
        <f>'Table 7 Local Revenue'!AP75</f>
        <v>45614</v>
      </c>
      <c r="J76" s="15">
        <f>E76+H76+I76</f>
        <v>2363981</v>
      </c>
    </row>
    <row r="77" spans="1:10" ht="12.75">
      <c r="A77" s="197">
        <v>69</v>
      </c>
      <c r="B77" s="20" t="s">
        <v>447</v>
      </c>
      <c r="C77" s="15">
        <f>'Table 7 Local Revenue'!AE76</f>
        <v>1742646</v>
      </c>
      <c r="D77" s="15">
        <f>'Table 7 Local Revenue'!H76</f>
        <v>81841960</v>
      </c>
      <c r="E77" s="15">
        <f>ROUND(D77*$E$6/1000,0)</f>
        <v>1536196</v>
      </c>
      <c r="F77" s="380">
        <f>'Table 7 Local Revenue'!AI76</f>
        <v>5340217</v>
      </c>
      <c r="G77" s="15">
        <f>'Table 7 Local Revenue'!AM76</f>
        <v>267010850</v>
      </c>
      <c r="H77" s="15">
        <f>ROUND(G77*$H$6,0)</f>
        <v>2395333</v>
      </c>
      <c r="I77" s="323">
        <f>'Table 7 Local Revenue'!AP76</f>
        <v>0</v>
      </c>
      <c r="J77" s="15">
        <f>E77+H77+I77</f>
        <v>3931529</v>
      </c>
    </row>
    <row r="78" spans="1:10" ht="13.5" thickBot="1">
      <c r="A78" s="18"/>
      <c r="B78" s="50" t="s">
        <v>298</v>
      </c>
      <c r="C78" s="51">
        <f aca="true" t="shared" si="7" ref="C78:J78">SUM(C9:C77)</f>
        <v>1057077123</v>
      </c>
      <c r="D78" s="51">
        <f t="shared" si="7"/>
        <v>24984942951.1</v>
      </c>
      <c r="E78" s="51">
        <f t="shared" si="7"/>
        <v>468974302</v>
      </c>
      <c r="F78" s="51">
        <f t="shared" si="7"/>
        <v>1582658375.8899999</v>
      </c>
      <c r="G78" s="51">
        <f t="shared" si="7"/>
        <v>80515819589.95</v>
      </c>
      <c r="H78" s="51">
        <f t="shared" si="7"/>
        <v>722300978</v>
      </c>
      <c r="I78" s="363">
        <f t="shared" si="7"/>
        <v>43128544</v>
      </c>
      <c r="J78" s="51">
        <f t="shared" si="7"/>
        <v>1234403824</v>
      </c>
    </row>
    <row r="79" ht="13.5" thickTop="1"/>
    <row r="81" ht="12.75" hidden="1">
      <c r="F81" s="634">
        <f>'Table 3 Levels 1&amp;2'!V77</f>
        <v>0.65</v>
      </c>
    </row>
    <row r="84" spans="5:6" ht="18">
      <c r="E84" s="320"/>
      <c r="F84" s="321"/>
    </row>
  </sheetData>
  <sheetProtection/>
  <mergeCells count="10">
    <mergeCell ref="A4:A6"/>
    <mergeCell ref="B4:B6"/>
    <mergeCell ref="C4:E4"/>
    <mergeCell ref="F4:J4"/>
    <mergeCell ref="C5:C6"/>
    <mergeCell ref="D5:D6"/>
    <mergeCell ref="F5:F6"/>
    <mergeCell ref="G5:G6"/>
    <mergeCell ref="I5:I6"/>
    <mergeCell ref="J5:J6"/>
  </mergeCells>
  <printOptions horizontalCentered="1"/>
  <pageMargins left="0.68" right="0.29" top="1.19" bottom="0.38" header="0.33" footer="0.18"/>
  <pageSetup firstPageNumber="26" useFirstPageNumber="1" horizontalDpi="600" verticalDpi="600" orientation="portrait" paperSize="5" scale="87" r:id="rId1"/>
  <headerFooter alignWithMargins="0">
    <oddHeader>&amp;L&amp;"Arial,Bold"&amp;18TABLE 6: FY2009-2010 Budget Letter 
Local Deduction Calculation</oddHeader>
    <oddFooter>&amp;R&amp;12&amp;P</oddFooter>
  </headerFooter>
  <colBreaks count="1" manualBreakCount="1">
    <brk id="5" min="2" max="7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S86"/>
  <sheetViews>
    <sheetView view="pageBreakPreview" zoomScaleNormal="85" zoomScaleSheetLayoutView="100" zoomScalePageLayoutView="0" workbookViewId="0" topLeftCell="A3">
      <pane xSplit="2" ySplit="4" topLeftCell="C67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AI78" sqref="AI78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15.28125" style="0" customWidth="1"/>
    <col min="4" max="4" width="14.8515625" style="0" customWidth="1"/>
    <col min="5" max="5" width="15.7109375" style="0" customWidth="1"/>
    <col min="6" max="6" width="15.28125" style="0" customWidth="1"/>
    <col min="7" max="7" width="9.00390625" style="0" customWidth="1"/>
    <col min="8" max="8" width="15.8515625" style="0" customWidth="1"/>
    <col min="9" max="9" width="10.7109375" style="0" customWidth="1"/>
    <col min="10" max="10" width="13.28125" style="0" customWidth="1"/>
    <col min="11" max="11" width="10.7109375" style="0" customWidth="1"/>
    <col min="12" max="12" width="13.00390625" style="0" customWidth="1"/>
    <col min="13" max="13" width="8.7109375" style="0" customWidth="1"/>
    <col min="14" max="14" width="9.00390625" style="0" customWidth="1"/>
    <col min="15" max="15" width="8.7109375" style="0" customWidth="1"/>
    <col min="16" max="16" width="12.140625" style="0" customWidth="1"/>
    <col min="17" max="17" width="12.57421875" style="0" customWidth="1"/>
    <col min="18" max="18" width="7.8515625" style="0" customWidth="1"/>
    <col min="19" max="19" width="17.140625" style="0" bestFit="1" customWidth="1"/>
    <col min="20" max="22" width="10.7109375" style="0" customWidth="1"/>
    <col min="23" max="23" width="16.57421875" style="0" bestFit="1" customWidth="1"/>
    <col min="24" max="24" width="13.00390625" style="0" bestFit="1" customWidth="1"/>
    <col min="25" max="25" width="12.8515625" style="0" customWidth="1"/>
    <col min="26" max="26" width="13.57421875" style="0" customWidth="1"/>
    <col min="27" max="27" width="12.8515625" style="0" customWidth="1"/>
    <col min="28" max="30" width="10.7109375" style="0" customWidth="1"/>
    <col min="31" max="31" width="16.140625" style="0" customWidth="1"/>
    <col min="32" max="32" width="10.57421875" style="0" customWidth="1"/>
    <col min="33" max="33" width="15.8515625" style="0" bestFit="1" customWidth="1"/>
    <col min="34" max="34" width="12.00390625" style="0" bestFit="1" customWidth="1"/>
    <col min="35" max="35" width="18.421875" style="0" customWidth="1"/>
    <col min="36" max="36" width="16.8515625" style="0" bestFit="1" customWidth="1"/>
    <col min="37" max="37" width="17.421875" style="0" bestFit="1" customWidth="1"/>
    <col min="38" max="38" width="12.28125" style="0" bestFit="1" customWidth="1"/>
    <col min="39" max="39" width="20.140625" style="0" bestFit="1" customWidth="1"/>
    <col min="40" max="41" width="13.421875" style="0" bestFit="1" customWidth="1"/>
    <col min="42" max="42" width="23.8515625" style="0" customWidth="1"/>
    <col min="43" max="43" width="19.140625" style="0" bestFit="1" customWidth="1"/>
    <col min="44" max="44" width="14.421875" style="0" bestFit="1" customWidth="1"/>
    <col min="45" max="45" width="10.421875" style="0" bestFit="1" customWidth="1"/>
  </cols>
  <sheetData>
    <row r="1" spans="1:43" ht="20.25" hidden="1">
      <c r="A1" s="58" t="s">
        <v>429</v>
      </c>
      <c r="B1" s="194"/>
      <c r="C1" s="195"/>
      <c r="D1" s="196"/>
      <c r="E1" s="196"/>
      <c r="F1" s="196"/>
      <c r="G1" s="196"/>
      <c r="H1" s="196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185"/>
      <c r="AF1" s="186"/>
      <c r="AG1" s="2"/>
      <c r="AH1" s="2"/>
      <c r="AI1" s="2"/>
      <c r="AJ1" s="2"/>
      <c r="AK1" s="2"/>
      <c r="AL1" s="2"/>
      <c r="AM1" s="2"/>
      <c r="AN1" s="2"/>
      <c r="AO1" s="2"/>
      <c r="AP1" s="187"/>
      <c r="AQ1" s="2"/>
    </row>
    <row r="2" spans="1:44" ht="40.5" hidden="1">
      <c r="A2" s="58"/>
      <c r="C2" s="1442" t="s">
        <v>127</v>
      </c>
      <c r="D2" s="1443"/>
      <c r="E2" s="155"/>
      <c r="F2" s="155"/>
      <c r="G2" s="155"/>
      <c r="H2" s="155"/>
      <c r="I2" s="194" t="s">
        <v>143</v>
      </c>
      <c r="J2" s="194" t="s">
        <v>144</v>
      </c>
      <c r="K2" s="194" t="s">
        <v>145</v>
      </c>
      <c r="L2" s="194" t="s">
        <v>146</v>
      </c>
      <c r="M2" s="194" t="s">
        <v>147</v>
      </c>
      <c r="N2" s="194" t="s">
        <v>148</v>
      </c>
      <c r="O2" s="194" t="s">
        <v>149</v>
      </c>
      <c r="P2" s="194" t="s">
        <v>150</v>
      </c>
      <c r="Q2" s="155" t="s">
        <v>125</v>
      </c>
      <c r="R2" s="194" t="s">
        <v>151</v>
      </c>
      <c r="S2" s="194" t="s">
        <v>152</v>
      </c>
      <c r="T2" s="194" t="s">
        <v>153</v>
      </c>
      <c r="U2" s="194" t="s">
        <v>154</v>
      </c>
      <c r="V2" s="194" t="s">
        <v>155</v>
      </c>
      <c r="W2" s="194" t="s">
        <v>156</v>
      </c>
      <c r="X2" s="155" t="s">
        <v>126</v>
      </c>
      <c r="Y2" s="155" t="s">
        <v>137</v>
      </c>
      <c r="Z2" s="155" t="s">
        <v>138</v>
      </c>
      <c r="AA2" s="155" t="s">
        <v>139</v>
      </c>
      <c r="AB2" s="155" t="s">
        <v>140</v>
      </c>
      <c r="AC2" s="155" t="s">
        <v>141</v>
      </c>
      <c r="AD2" s="155" t="s">
        <v>128</v>
      </c>
      <c r="AE2" s="389"/>
      <c r="AF2" s="146" t="s">
        <v>227</v>
      </c>
      <c r="AG2" s="146" t="s">
        <v>228</v>
      </c>
      <c r="AH2" s="145" t="s">
        <v>410</v>
      </c>
      <c r="AI2" s="145"/>
      <c r="AJ2" s="147"/>
      <c r="AK2" s="147" t="s">
        <v>129</v>
      </c>
      <c r="AL2" s="230"/>
      <c r="AM2" s="230"/>
      <c r="AN2" s="155" t="s">
        <v>130</v>
      </c>
      <c r="AO2" s="155" t="s">
        <v>131</v>
      </c>
      <c r="AP2" s="160" t="s">
        <v>240</v>
      </c>
      <c r="AQ2" s="211" t="s">
        <v>123</v>
      </c>
      <c r="AR2" s="160" t="s">
        <v>241</v>
      </c>
    </row>
    <row r="3" spans="1:44" ht="51.75" customHeight="1">
      <c r="A3" s="1315" t="s">
        <v>408</v>
      </c>
      <c r="B3" s="1315" t="s">
        <v>103</v>
      </c>
      <c r="C3" s="1444" t="s">
        <v>500</v>
      </c>
      <c r="D3" s="1445"/>
      <c r="E3" s="1446"/>
      <c r="F3" s="1446"/>
      <c r="G3" s="1446"/>
      <c r="H3" s="1447"/>
      <c r="I3" s="1426" t="s">
        <v>104</v>
      </c>
      <c r="J3" s="1428"/>
      <c r="K3" s="1439" t="s">
        <v>157</v>
      </c>
      <c r="L3" s="1440"/>
      <c r="M3" s="1440"/>
      <c r="N3" s="1440"/>
      <c r="O3" s="1440"/>
      <c r="P3" s="1441"/>
      <c r="Q3" s="1434" t="s">
        <v>461</v>
      </c>
      <c r="R3" s="1439" t="s">
        <v>158</v>
      </c>
      <c r="S3" s="1440"/>
      <c r="T3" s="1440"/>
      <c r="U3" s="1440"/>
      <c r="V3" s="1440"/>
      <c r="W3" s="1441"/>
      <c r="X3" s="1434" t="s">
        <v>159</v>
      </c>
      <c r="Y3" s="1439" t="s">
        <v>142</v>
      </c>
      <c r="Z3" s="1440"/>
      <c r="AA3" s="1440"/>
      <c r="AB3" s="1440"/>
      <c r="AC3" s="1440"/>
      <c r="AD3" s="1440"/>
      <c r="AE3" s="1434" t="s">
        <v>499</v>
      </c>
      <c r="AF3" s="1439" t="s">
        <v>232</v>
      </c>
      <c r="AG3" s="1440"/>
      <c r="AH3" s="1440"/>
      <c r="AI3" s="1434" t="s">
        <v>498</v>
      </c>
      <c r="AJ3" s="1439" t="s">
        <v>299</v>
      </c>
      <c r="AK3" s="1440"/>
      <c r="AL3" s="1440"/>
      <c r="AM3" s="1440"/>
      <c r="AN3" s="1440"/>
      <c r="AO3" s="1441"/>
      <c r="AP3" s="1448" t="s">
        <v>616</v>
      </c>
      <c r="AQ3" s="1433" t="s">
        <v>621</v>
      </c>
      <c r="AR3" s="1430" t="s">
        <v>635</v>
      </c>
    </row>
    <row r="4" spans="1:44" ht="69" customHeight="1">
      <c r="A4" s="1424"/>
      <c r="B4" s="1424"/>
      <c r="C4" s="1412" t="s">
        <v>696</v>
      </c>
      <c r="D4" s="1412" t="s">
        <v>697</v>
      </c>
      <c r="E4" s="1315" t="s">
        <v>698</v>
      </c>
      <c r="F4" s="1412" t="s">
        <v>699</v>
      </c>
      <c r="G4" s="1412" t="s">
        <v>448</v>
      </c>
      <c r="H4" s="87" t="s">
        <v>700</v>
      </c>
      <c r="I4" s="1429" t="s">
        <v>108</v>
      </c>
      <c r="J4" s="1429" t="s">
        <v>160</v>
      </c>
      <c r="K4" s="1429" t="s">
        <v>108</v>
      </c>
      <c r="L4" s="1429" t="s">
        <v>160</v>
      </c>
      <c r="M4" s="1429" t="s">
        <v>161</v>
      </c>
      <c r="N4" s="1429" t="s">
        <v>162</v>
      </c>
      <c r="O4" s="1429" t="s">
        <v>163</v>
      </c>
      <c r="P4" s="1429" t="s">
        <v>495</v>
      </c>
      <c r="Q4" s="1435"/>
      <c r="R4" s="1429" t="s">
        <v>108</v>
      </c>
      <c r="S4" s="1429" t="s">
        <v>113</v>
      </c>
      <c r="T4" s="1429" t="s">
        <v>109</v>
      </c>
      <c r="U4" s="1429" t="s">
        <v>110</v>
      </c>
      <c r="V4" s="1429" t="s">
        <v>111</v>
      </c>
      <c r="W4" s="1429" t="s">
        <v>112</v>
      </c>
      <c r="X4" s="1435"/>
      <c r="Y4" s="1429" t="s">
        <v>118</v>
      </c>
      <c r="Z4" s="1429" t="s">
        <v>117</v>
      </c>
      <c r="AA4" s="1429" t="s">
        <v>116</v>
      </c>
      <c r="AB4" s="1429" t="s">
        <v>115</v>
      </c>
      <c r="AC4" s="1429" t="s">
        <v>114</v>
      </c>
      <c r="AD4" s="1429" t="s">
        <v>119</v>
      </c>
      <c r="AE4" s="1435"/>
      <c r="AF4" s="1438" t="s">
        <v>105</v>
      </c>
      <c r="AG4" s="1438" t="s">
        <v>106</v>
      </c>
      <c r="AH4" s="1438" t="s">
        <v>107</v>
      </c>
      <c r="AI4" s="1435"/>
      <c r="AJ4" s="1437" t="s">
        <v>18</v>
      </c>
      <c r="AK4" s="1437" t="s">
        <v>19</v>
      </c>
      <c r="AL4" s="1437" t="s">
        <v>439</v>
      </c>
      <c r="AM4" s="504" t="s">
        <v>297</v>
      </c>
      <c r="AN4" s="1438" t="s">
        <v>300</v>
      </c>
      <c r="AO4" s="1438" t="s">
        <v>120</v>
      </c>
      <c r="AP4" s="1449"/>
      <c r="AQ4" s="1431"/>
      <c r="AR4" s="1431"/>
    </row>
    <row r="5" spans="1:44" ht="15" customHeight="1">
      <c r="A5" s="1425"/>
      <c r="B5" s="1425"/>
      <c r="C5" s="1412"/>
      <c r="D5" s="1412"/>
      <c r="E5" s="1317"/>
      <c r="F5" s="1412"/>
      <c r="G5" s="1412"/>
      <c r="H5" s="505">
        <v>0.1</v>
      </c>
      <c r="I5" s="1429"/>
      <c r="J5" s="1429"/>
      <c r="K5" s="1429"/>
      <c r="L5" s="1429"/>
      <c r="M5" s="1429"/>
      <c r="N5" s="1429"/>
      <c r="O5" s="1429"/>
      <c r="P5" s="1429"/>
      <c r="Q5" s="1436"/>
      <c r="R5" s="1429"/>
      <c r="S5" s="1429"/>
      <c r="T5" s="1429"/>
      <c r="U5" s="1429"/>
      <c r="V5" s="1429"/>
      <c r="W5" s="1429"/>
      <c r="X5" s="1436"/>
      <c r="Y5" s="1429"/>
      <c r="Z5" s="1429"/>
      <c r="AA5" s="1429"/>
      <c r="AB5" s="1429"/>
      <c r="AC5" s="1429"/>
      <c r="AD5" s="1429"/>
      <c r="AE5" s="1436"/>
      <c r="AF5" s="1438"/>
      <c r="AG5" s="1438"/>
      <c r="AH5" s="1438"/>
      <c r="AI5" s="1436"/>
      <c r="AJ5" s="1437"/>
      <c r="AK5" s="1437"/>
      <c r="AL5" s="1437"/>
      <c r="AM5" s="505">
        <v>0.15</v>
      </c>
      <c r="AN5" s="1438"/>
      <c r="AO5" s="1438"/>
      <c r="AP5" s="1450"/>
      <c r="AQ5" s="1432"/>
      <c r="AR5" s="1432"/>
    </row>
    <row r="6" spans="1:44" ht="12.75">
      <c r="A6" s="82"/>
      <c r="B6" s="91"/>
      <c r="C6" s="311">
        <v>1</v>
      </c>
      <c r="D6" s="310">
        <f>C6+1</f>
        <v>2</v>
      </c>
      <c r="E6" s="310">
        <v>3</v>
      </c>
      <c r="F6" s="362" t="s">
        <v>457</v>
      </c>
      <c r="G6" s="362" t="s">
        <v>458</v>
      </c>
      <c r="H6" s="287" t="s">
        <v>459</v>
      </c>
      <c r="I6" s="286">
        <f>E6+1</f>
        <v>4</v>
      </c>
      <c r="J6" s="310">
        <f aca="true" t="shared" si="0" ref="J6:AR6">I6+1</f>
        <v>5</v>
      </c>
      <c r="K6" s="310">
        <f t="shared" si="0"/>
        <v>6</v>
      </c>
      <c r="L6" s="310">
        <f t="shared" si="0"/>
        <v>7</v>
      </c>
      <c r="M6" s="310">
        <f t="shared" si="0"/>
        <v>8</v>
      </c>
      <c r="N6" s="310">
        <f t="shared" si="0"/>
        <v>9</v>
      </c>
      <c r="O6" s="310">
        <f t="shared" si="0"/>
        <v>10</v>
      </c>
      <c r="P6" s="310">
        <f t="shared" si="0"/>
        <v>11</v>
      </c>
      <c r="Q6" s="310">
        <f t="shared" si="0"/>
        <v>12</v>
      </c>
      <c r="R6" s="310">
        <f t="shared" si="0"/>
        <v>13</v>
      </c>
      <c r="S6" s="310">
        <f t="shared" si="0"/>
        <v>14</v>
      </c>
      <c r="T6" s="310">
        <f t="shared" si="0"/>
        <v>15</v>
      </c>
      <c r="U6" s="310">
        <f t="shared" si="0"/>
        <v>16</v>
      </c>
      <c r="V6" s="310">
        <f t="shared" si="0"/>
        <v>17</v>
      </c>
      <c r="W6" s="310">
        <f t="shared" si="0"/>
        <v>18</v>
      </c>
      <c r="X6" s="310">
        <f t="shared" si="0"/>
        <v>19</v>
      </c>
      <c r="Y6" s="310">
        <f t="shared" si="0"/>
        <v>20</v>
      </c>
      <c r="Z6" s="310">
        <f t="shared" si="0"/>
        <v>21</v>
      </c>
      <c r="AA6" s="310">
        <f t="shared" si="0"/>
        <v>22</v>
      </c>
      <c r="AB6" s="310">
        <f t="shared" si="0"/>
        <v>23</v>
      </c>
      <c r="AC6" s="310">
        <f t="shared" si="0"/>
        <v>24</v>
      </c>
      <c r="AD6" s="310">
        <f t="shared" si="0"/>
        <v>25</v>
      </c>
      <c r="AE6" s="310">
        <f t="shared" si="0"/>
        <v>26</v>
      </c>
      <c r="AF6" s="310">
        <f t="shared" si="0"/>
        <v>27</v>
      </c>
      <c r="AG6" s="310">
        <f t="shared" si="0"/>
        <v>28</v>
      </c>
      <c r="AH6" s="310">
        <f t="shared" si="0"/>
        <v>29</v>
      </c>
      <c r="AI6" s="310">
        <f t="shared" si="0"/>
        <v>30</v>
      </c>
      <c r="AJ6" s="310">
        <f t="shared" si="0"/>
        <v>31</v>
      </c>
      <c r="AK6" s="310">
        <f t="shared" si="0"/>
        <v>32</v>
      </c>
      <c r="AL6" s="310">
        <f t="shared" si="0"/>
        <v>33</v>
      </c>
      <c r="AM6" s="310">
        <f t="shared" si="0"/>
        <v>34</v>
      </c>
      <c r="AN6" s="310">
        <f t="shared" si="0"/>
        <v>35</v>
      </c>
      <c r="AO6" s="310">
        <f t="shared" si="0"/>
        <v>36</v>
      </c>
      <c r="AP6" s="310">
        <f t="shared" si="0"/>
        <v>37</v>
      </c>
      <c r="AQ6" s="310">
        <f t="shared" si="0"/>
        <v>38</v>
      </c>
      <c r="AR6" s="286">
        <f t="shared" si="0"/>
        <v>39</v>
      </c>
    </row>
    <row r="7" spans="1:44" ht="0.75" customHeight="1">
      <c r="A7" s="10"/>
      <c r="B7" s="368"/>
      <c r="C7" s="375"/>
      <c r="D7" s="376"/>
      <c r="E7" s="376"/>
      <c r="F7" s="161"/>
      <c r="G7" s="161"/>
      <c r="H7" s="161"/>
      <c r="I7" s="472"/>
      <c r="J7" s="385"/>
      <c r="K7" s="375"/>
      <c r="L7" s="385"/>
      <c r="M7" s="375"/>
      <c r="N7" s="375"/>
      <c r="O7" s="375"/>
      <c r="P7" s="385"/>
      <c r="Q7" s="375"/>
      <c r="R7" s="375"/>
      <c r="S7" s="385"/>
      <c r="T7" s="375"/>
      <c r="U7" s="375"/>
      <c r="V7" s="375"/>
      <c r="W7" s="385"/>
      <c r="X7" s="375"/>
      <c r="Y7" s="375"/>
      <c r="Z7" s="375"/>
      <c r="AA7" s="375"/>
      <c r="AB7" s="375"/>
      <c r="AC7" s="375"/>
      <c r="AD7" s="376"/>
      <c r="AE7" s="390"/>
      <c r="AF7" s="463"/>
      <c r="AG7" s="377"/>
      <c r="AH7" s="378"/>
      <c r="AI7" s="379"/>
      <c r="AJ7" s="11"/>
      <c r="AK7" s="11"/>
      <c r="AL7" s="12"/>
      <c r="AM7" s="12"/>
      <c r="AN7" s="12"/>
      <c r="AO7" s="12"/>
      <c r="AP7" s="88"/>
      <c r="AQ7" s="164"/>
      <c r="AR7" s="164"/>
    </row>
    <row r="8" spans="1:44" ht="12.75">
      <c r="A8" s="13">
        <v>1</v>
      </c>
      <c r="B8" s="89" t="s">
        <v>302</v>
      </c>
      <c r="C8" s="15">
        <f>'[7]Final'!C9</f>
        <v>283777379</v>
      </c>
      <c r="D8" s="15">
        <f>'[7]Final'!D9</f>
        <v>71958274</v>
      </c>
      <c r="E8" s="15">
        <f>C8-D8</f>
        <v>211819105</v>
      </c>
      <c r="F8" s="15">
        <f>'[6]Table 7 Local Revenue'!E8</f>
        <v>193761600</v>
      </c>
      <c r="G8" s="17">
        <f>(E8-F8)/F8</f>
        <v>0.09319444616477156</v>
      </c>
      <c r="H8" s="458">
        <f aca="true" t="shared" si="1" ref="H8:H39">IF((E8-F8)/F8&gt;$H$5,F8*(1+$H$5),E8)</f>
        <v>211819105</v>
      </c>
      <c r="I8" s="794">
        <v>5.14</v>
      </c>
      <c r="J8" s="748">
        <v>1047095</v>
      </c>
      <c r="K8" s="794">
        <v>20.03</v>
      </c>
      <c r="L8" s="748">
        <v>4080412</v>
      </c>
      <c r="M8" s="747">
        <v>0</v>
      </c>
      <c r="N8" s="747">
        <v>13.45</v>
      </c>
      <c r="O8" s="747">
        <v>2</v>
      </c>
      <c r="P8" s="748">
        <v>708904</v>
      </c>
      <c r="Q8" s="15">
        <f>J8+L8+P8</f>
        <v>5836411</v>
      </c>
      <c r="R8" s="747">
        <v>0</v>
      </c>
      <c r="S8" s="748">
        <v>0</v>
      </c>
      <c r="T8" s="747">
        <v>0</v>
      </c>
      <c r="U8" s="747">
        <v>23.6</v>
      </c>
      <c r="V8" s="747">
        <v>5</v>
      </c>
      <c r="W8" s="748">
        <v>764687</v>
      </c>
      <c r="X8" s="15">
        <f>S8+W8</f>
        <v>764687</v>
      </c>
      <c r="Y8" s="188">
        <f>I8+K8+R8</f>
        <v>25.17</v>
      </c>
      <c r="Z8" s="15">
        <f>J8+L8+S8</f>
        <v>5127507</v>
      </c>
      <c r="AA8" s="15">
        <f>P8+W8</f>
        <v>1473591</v>
      </c>
      <c r="AB8" s="189">
        <f aca="true" t="shared" si="2" ref="AB8:AB39">ROUND((X8/E8)*1000,2)</f>
        <v>3.61</v>
      </c>
      <c r="AC8" s="190">
        <f aca="true" t="shared" si="3" ref="AC8:AC39">ROUND((Q8/E8)*1000,2)</f>
        <v>27.55</v>
      </c>
      <c r="AD8" s="156">
        <f aca="true" t="shared" si="4" ref="AD8:AD39">ROUND((AE8/E8)*1000,2)</f>
        <v>31.16</v>
      </c>
      <c r="AE8" s="97">
        <f>X8+Q8</f>
        <v>6601098</v>
      </c>
      <c r="AF8" s="201">
        <v>0.015</v>
      </c>
      <c r="AG8" s="97">
        <v>10760720</v>
      </c>
      <c r="AH8" s="97">
        <v>0</v>
      </c>
      <c r="AI8" s="758">
        <f>AG8+AH8</f>
        <v>10760720</v>
      </c>
      <c r="AJ8" s="97">
        <f>'[6]Table 7 Local Revenue'!AK8</f>
        <v>700680133</v>
      </c>
      <c r="AK8" s="97">
        <f aca="true" t="shared" si="5" ref="AK8:AK18">ROUND(AI8/AF8,0)</f>
        <v>717381333</v>
      </c>
      <c r="AL8" s="201">
        <f>(AK8-AJ8)/AJ8</f>
        <v>0.023835697936079488</v>
      </c>
      <c r="AM8" s="97">
        <f>IF((AK8-AJ8)/AJ8&gt;$AM$5,AJ8*(1+$AM$5),AK8)</f>
        <v>717381333</v>
      </c>
      <c r="AN8" s="158">
        <f aca="true" t="shared" si="6" ref="AN8:AN39">AG8/AK8</f>
        <v>0.015000000006969794</v>
      </c>
      <c r="AO8" s="158">
        <f aca="true" t="shared" si="7" ref="AO8:AO39">AH8/AK8</f>
        <v>0</v>
      </c>
      <c r="AP8" s="97">
        <v>536092</v>
      </c>
      <c r="AQ8" s="97">
        <f aca="true" t="shared" si="8" ref="AQ8:AQ39">AP8+AE8+AI8</f>
        <v>17897910</v>
      </c>
      <c r="AR8" s="97">
        <f>ROUND(AQ8/'Table 3 Levels 1&amp;2'!C8,2)</f>
        <v>2002.23</v>
      </c>
    </row>
    <row r="9" spans="1:44" ht="12.75">
      <c r="A9" s="13">
        <v>2</v>
      </c>
      <c r="B9" s="89" t="s">
        <v>303</v>
      </c>
      <c r="C9" s="15">
        <f>'[7]Final'!C10</f>
        <v>98451500</v>
      </c>
      <c r="D9" s="15">
        <f>'[7]Final'!D10</f>
        <v>24239527</v>
      </c>
      <c r="E9" s="15">
        <f aca="true" t="shared" si="9" ref="E9:E72">C9-D9</f>
        <v>74211973</v>
      </c>
      <c r="F9" s="15">
        <f>'[6]Table 7 Local Revenue'!E9</f>
        <v>71265140</v>
      </c>
      <c r="G9" s="17">
        <f aca="true" t="shared" si="10" ref="G9:G72">(E9-F9)/F9</f>
        <v>0.04135027307881525</v>
      </c>
      <c r="H9" s="458">
        <f t="shared" si="1"/>
        <v>74211973</v>
      </c>
      <c r="I9" s="794">
        <v>4.26</v>
      </c>
      <c r="J9" s="748">
        <v>301102</v>
      </c>
      <c r="K9" s="794">
        <v>5.13</v>
      </c>
      <c r="L9" s="748">
        <v>362595</v>
      </c>
      <c r="M9" s="747">
        <v>12.59</v>
      </c>
      <c r="N9" s="747">
        <v>85.56</v>
      </c>
      <c r="O9" s="747">
        <v>6</v>
      </c>
      <c r="P9" s="748">
        <v>1340703</v>
      </c>
      <c r="Q9" s="15">
        <f aca="true" t="shared" si="11" ref="Q9:Q72">J9+L9+P9</f>
        <v>2004400</v>
      </c>
      <c r="R9" s="747">
        <v>0</v>
      </c>
      <c r="S9" s="748">
        <v>0</v>
      </c>
      <c r="T9" s="747">
        <v>7.62</v>
      </c>
      <c r="U9" s="747">
        <v>47.95</v>
      </c>
      <c r="V9" s="747">
        <v>5</v>
      </c>
      <c r="W9" s="748">
        <v>1331133</v>
      </c>
      <c r="X9" s="15">
        <f aca="true" t="shared" si="12" ref="X9:X72">S9+W9</f>
        <v>1331133</v>
      </c>
      <c r="Y9" s="188">
        <f aca="true" t="shared" si="13" ref="Y9:Y72">I9+K9+R9</f>
        <v>9.39</v>
      </c>
      <c r="Z9" s="15">
        <f aca="true" t="shared" si="14" ref="Z9:Z72">J9+L9+S9</f>
        <v>663697</v>
      </c>
      <c r="AA9" s="15">
        <f aca="true" t="shared" si="15" ref="AA9:AA72">P9+W9</f>
        <v>2671836</v>
      </c>
      <c r="AB9" s="189">
        <f t="shared" si="2"/>
        <v>17.94</v>
      </c>
      <c r="AC9" s="190">
        <f t="shared" si="3"/>
        <v>27.01</v>
      </c>
      <c r="AD9" s="156">
        <f t="shared" si="4"/>
        <v>44.95</v>
      </c>
      <c r="AE9" s="97">
        <f aca="true" t="shared" si="16" ref="AE9:AE72">X9+Q9</f>
        <v>3335533</v>
      </c>
      <c r="AF9" s="201">
        <v>0.03</v>
      </c>
      <c r="AG9" s="97">
        <v>7885118</v>
      </c>
      <c r="AH9" s="97">
        <v>0</v>
      </c>
      <c r="AI9" s="758">
        <f aca="true" t="shared" si="17" ref="AI9:AI72">AG9+AH9</f>
        <v>7885118</v>
      </c>
      <c r="AJ9" s="97">
        <f>'[6]Table 7 Local Revenue'!AK9</f>
        <v>285787933</v>
      </c>
      <c r="AK9" s="97">
        <f t="shared" si="5"/>
        <v>262837267</v>
      </c>
      <c r="AL9" s="201">
        <f aca="true" t="shared" si="18" ref="AL9:AL72">(AK9-AJ9)/AJ9</f>
        <v>-0.08030663072117884</v>
      </c>
      <c r="AM9" s="97">
        <f aca="true" t="shared" si="19" ref="AM9:AM72">IF((AK9-AJ9)/AJ9&gt;$AM$5,AJ9*(1+$AM$5),AK9)</f>
        <v>262837267</v>
      </c>
      <c r="AN9" s="158">
        <f t="shared" si="6"/>
        <v>0.029999999961953645</v>
      </c>
      <c r="AO9" s="158">
        <f t="shared" si="7"/>
        <v>0</v>
      </c>
      <c r="AP9" s="97">
        <v>99075</v>
      </c>
      <c r="AQ9" s="97">
        <f t="shared" si="8"/>
        <v>11319726</v>
      </c>
      <c r="AR9" s="97">
        <f>ROUND(AQ9/'Table 3 Levels 1&amp;2'!C9,2)</f>
        <v>2833.47</v>
      </c>
    </row>
    <row r="10" spans="1:44" ht="12.75">
      <c r="A10" s="13">
        <v>3</v>
      </c>
      <c r="B10" s="89" t="s">
        <v>304</v>
      </c>
      <c r="C10" s="15">
        <f>'[7]Final'!C11</f>
        <v>856413240</v>
      </c>
      <c r="D10" s="15">
        <f>'[7]Final'!D11</f>
        <v>169306150</v>
      </c>
      <c r="E10" s="15">
        <f t="shared" si="9"/>
        <v>687107090</v>
      </c>
      <c r="F10" s="15">
        <f>'[6]Table 7 Local Revenue'!E10</f>
        <v>615023140</v>
      </c>
      <c r="G10" s="577">
        <f t="shared" si="10"/>
        <v>0.11720526482954771</v>
      </c>
      <c r="H10" s="461">
        <f t="shared" si="1"/>
        <v>676525454</v>
      </c>
      <c r="I10" s="794">
        <v>3.61</v>
      </c>
      <c r="J10" s="748">
        <v>2295777</v>
      </c>
      <c r="K10" s="794">
        <v>39.9</v>
      </c>
      <c r="L10" s="748">
        <v>27188249</v>
      </c>
      <c r="M10" s="747">
        <v>0</v>
      </c>
      <c r="N10" s="747">
        <v>0</v>
      </c>
      <c r="O10" s="747">
        <v>0</v>
      </c>
      <c r="P10" s="748">
        <v>0</v>
      </c>
      <c r="Q10" s="15">
        <f t="shared" si="11"/>
        <v>29484026</v>
      </c>
      <c r="R10" s="747">
        <v>15.08</v>
      </c>
      <c r="S10" s="748">
        <v>10464908</v>
      </c>
      <c r="T10" s="747">
        <v>0</v>
      </c>
      <c r="U10" s="747">
        <v>0</v>
      </c>
      <c r="V10" s="747">
        <v>0</v>
      </c>
      <c r="W10" s="748">
        <v>0</v>
      </c>
      <c r="X10" s="15">
        <f t="shared" si="12"/>
        <v>10464908</v>
      </c>
      <c r="Y10" s="188">
        <f t="shared" si="13"/>
        <v>58.589999999999996</v>
      </c>
      <c r="Z10" s="15">
        <f t="shared" si="14"/>
        <v>39948934</v>
      </c>
      <c r="AA10" s="15">
        <f t="shared" si="15"/>
        <v>0</v>
      </c>
      <c r="AB10" s="189">
        <f t="shared" si="2"/>
        <v>15.23</v>
      </c>
      <c r="AC10" s="190">
        <f t="shared" si="3"/>
        <v>42.91</v>
      </c>
      <c r="AD10" s="156">
        <f t="shared" si="4"/>
        <v>58.14</v>
      </c>
      <c r="AE10" s="97">
        <f t="shared" si="16"/>
        <v>39948934</v>
      </c>
      <c r="AF10" s="201">
        <v>0.02</v>
      </c>
      <c r="AG10" s="97">
        <v>44552548</v>
      </c>
      <c r="AH10" s="97">
        <v>0</v>
      </c>
      <c r="AI10" s="758">
        <f t="shared" si="17"/>
        <v>44552548</v>
      </c>
      <c r="AJ10" s="97">
        <f>'[6]Table 7 Local Revenue'!AK10</f>
        <v>1967099850</v>
      </c>
      <c r="AK10" s="97">
        <f t="shared" si="5"/>
        <v>2227627400</v>
      </c>
      <c r="AL10" s="201">
        <f t="shared" si="18"/>
        <v>0.1324424634570533</v>
      </c>
      <c r="AM10" s="97">
        <f t="shared" si="19"/>
        <v>2227627400</v>
      </c>
      <c r="AN10" s="158">
        <f t="shared" si="6"/>
        <v>0.02</v>
      </c>
      <c r="AO10" s="158">
        <f t="shared" si="7"/>
        <v>0</v>
      </c>
      <c r="AP10" s="97">
        <v>134466</v>
      </c>
      <c r="AQ10" s="97">
        <f t="shared" si="8"/>
        <v>84635948</v>
      </c>
      <c r="AR10" s="97">
        <f>ROUND(AQ10/'Table 3 Levels 1&amp;2'!C10,2)</f>
        <v>4535.2</v>
      </c>
    </row>
    <row r="11" spans="1:44" ht="12.75">
      <c r="A11" s="13">
        <v>4</v>
      </c>
      <c r="B11" s="89" t="s">
        <v>305</v>
      </c>
      <c r="C11" s="15">
        <f>'[7]Final'!C12</f>
        <v>145557210</v>
      </c>
      <c r="D11" s="15">
        <f>'[7]Final'!D12</f>
        <v>33084201</v>
      </c>
      <c r="E11" s="15">
        <f t="shared" si="9"/>
        <v>112473009</v>
      </c>
      <c r="F11" s="15">
        <f>'[6]Table 7 Local Revenue'!E11</f>
        <v>101823579</v>
      </c>
      <c r="G11" s="577">
        <f t="shared" si="10"/>
        <v>0.10458707211617459</v>
      </c>
      <c r="H11" s="461">
        <f t="shared" si="1"/>
        <v>112005936.9</v>
      </c>
      <c r="I11" s="794">
        <v>5.49</v>
      </c>
      <c r="J11" s="748">
        <v>614491</v>
      </c>
      <c r="K11" s="794">
        <v>33.88</v>
      </c>
      <c r="L11" s="748">
        <v>3792149</v>
      </c>
      <c r="M11" s="747">
        <v>0</v>
      </c>
      <c r="N11" s="747">
        <v>0</v>
      </c>
      <c r="O11" s="747">
        <v>1</v>
      </c>
      <c r="P11" s="748">
        <v>0</v>
      </c>
      <c r="Q11" s="15">
        <f t="shared" si="11"/>
        <v>4406640</v>
      </c>
      <c r="R11" s="747">
        <v>1.75</v>
      </c>
      <c r="S11" s="748">
        <v>195116</v>
      </c>
      <c r="T11" s="747">
        <v>0</v>
      </c>
      <c r="U11" s="747">
        <v>0</v>
      </c>
      <c r="V11" s="747">
        <v>1</v>
      </c>
      <c r="W11" s="748">
        <v>0</v>
      </c>
      <c r="X11" s="15">
        <f t="shared" si="12"/>
        <v>195116</v>
      </c>
      <c r="Y11" s="188">
        <f t="shared" si="13"/>
        <v>41.120000000000005</v>
      </c>
      <c r="Z11" s="15">
        <f t="shared" si="14"/>
        <v>4601756</v>
      </c>
      <c r="AA11" s="15">
        <f t="shared" si="15"/>
        <v>0</v>
      </c>
      <c r="AB11" s="189">
        <f t="shared" si="2"/>
        <v>1.73</v>
      </c>
      <c r="AC11" s="190">
        <f t="shared" si="3"/>
        <v>39.18</v>
      </c>
      <c r="AD11" s="156">
        <f t="shared" si="4"/>
        <v>40.91</v>
      </c>
      <c r="AE11" s="97">
        <f t="shared" si="16"/>
        <v>4601756</v>
      </c>
      <c r="AF11" s="201">
        <v>0.03</v>
      </c>
      <c r="AG11" s="97">
        <v>5114120</v>
      </c>
      <c r="AH11" s="97">
        <v>1023983</v>
      </c>
      <c r="AI11" s="758">
        <f t="shared" si="17"/>
        <v>6138103</v>
      </c>
      <c r="AJ11" s="97">
        <f>'[6]Table 7 Local Revenue'!AK11</f>
        <v>216870867</v>
      </c>
      <c r="AK11" s="97">
        <f t="shared" si="5"/>
        <v>204603433</v>
      </c>
      <c r="AL11" s="201">
        <f t="shared" si="18"/>
        <v>-0.0565656151501437</v>
      </c>
      <c r="AM11" s="97">
        <f t="shared" si="19"/>
        <v>204603433</v>
      </c>
      <c r="AN11" s="158">
        <f t="shared" si="6"/>
        <v>0.024995279526908037</v>
      </c>
      <c r="AO11" s="158">
        <f t="shared" si="7"/>
        <v>0.005004720521967</v>
      </c>
      <c r="AP11" s="97">
        <v>125445</v>
      </c>
      <c r="AQ11" s="97">
        <f t="shared" si="8"/>
        <v>10865304</v>
      </c>
      <c r="AR11" s="97">
        <f>ROUND(AQ11/'Table 3 Levels 1&amp;2'!C11,2)</f>
        <v>2888.94</v>
      </c>
    </row>
    <row r="12" spans="1:44" ht="12.75">
      <c r="A12" s="19">
        <v>5</v>
      </c>
      <c r="B12" s="90" t="s">
        <v>306</v>
      </c>
      <c r="C12" s="21">
        <f>'[7]Final'!C13</f>
        <v>139928690</v>
      </c>
      <c r="D12" s="21">
        <f>'[7]Final'!D13</f>
        <v>52428911</v>
      </c>
      <c r="E12" s="21">
        <f t="shared" si="9"/>
        <v>87499779</v>
      </c>
      <c r="F12" s="21">
        <f>'[6]Table 7 Local Revenue'!E12</f>
        <v>82240799</v>
      </c>
      <c r="G12" s="374">
        <f t="shared" si="10"/>
        <v>0.06394611997872249</v>
      </c>
      <c r="H12" s="459">
        <f t="shared" si="1"/>
        <v>87499779</v>
      </c>
      <c r="I12" s="795">
        <v>3.62</v>
      </c>
      <c r="J12" s="750">
        <v>377739</v>
      </c>
      <c r="K12" s="795">
        <v>9.6</v>
      </c>
      <c r="L12" s="750">
        <v>1001460</v>
      </c>
      <c r="M12" s="749">
        <v>0</v>
      </c>
      <c r="N12" s="749">
        <v>0</v>
      </c>
      <c r="O12" s="749">
        <v>0</v>
      </c>
      <c r="P12" s="750">
        <v>0</v>
      </c>
      <c r="Q12" s="21">
        <f t="shared" si="11"/>
        <v>1379199</v>
      </c>
      <c r="R12" s="749">
        <v>0</v>
      </c>
      <c r="S12" s="750">
        <v>0</v>
      </c>
      <c r="T12" s="749">
        <v>3</v>
      </c>
      <c r="U12" s="749">
        <v>3</v>
      </c>
      <c r="V12" s="749">
        <v>1</v>
      </c>
      <c r="W12" s="750">
        <v>67973</v>
      </c>
      <c r="X12" s="21">
        <f t="shared" si="12"/>
        <v>67973</v>
      </c>
      <c r="Y12" s="191">
        <f t="shared" si="13"/>
        <v>13.219999999999999</v>
      </c>
      <c r="Z12" s="21">
        <f t="shared" si="14"/>
        <v>1379199</v>
      </c>
      <c r="AA12" s="21">
        <f t="shared" si="15"/>
        <v>67973</v>
      </c>
      <c r="AB12" s="192">
        <f t="shared" si="2"/>
        <v>0.78</v>
      </c>
      <c r="AC12" s="193">
        <f t="shared" si="3"/>
        <v>15.76</v>
      </c>
      <c r="AD12" s="157">
        <f t="shared" si="4"/>
        <v>16.54</v>
      </c>
      <c r="AE12" s="98">
        <f t="shared" si="16"/>
        <v>1447172</v>
      </c>
      <c r="AF12" s="202">
        <v>0.015</v>
      </c>
      <c r="AG12" s="98">
        <v>5948374</v>
      </c>
      <c r="AH12" s="98">
        <v>0</v>
      </c>
      <c r="AI12" s="759">
        <f t="shared" si="17"/>
        <v>5948374</v>
      </c>
      <c r="AJ12" s="98">
        <f>'[6]Table 7 Local Revenue'!AK12</f>
        <v>384025867</v>
      </c>
      <c r="AK12" s="98">
        <f t="shared" si="5"/>
        <v>396558267</v>
      </c>
      <c r="AL12" s="202">
        <f t="shared" si="18"/>
        <v>0.03263426002498941</v>
      </c>
      <c r="AM12" s="98">
        <f t="shared" si="19"/>
        <v>396558267</v>
      </c>
      <c r="AN12" s="159">
        <f t="shared" si="6"/>
        <v>0.014999999987391512</v>
      </c>
      <c r="AO12" s="159">
        <f t="shared" si="7"/>
        <v>0</v>
      </c>
      <c r="AP12" s="98">
        <v>93519</v>
      </c>
      <c r="AQ12" s="98">
        <f t="shared" si="8"/>
        <v>7489065</v>
      </c>
      <c r="AR12" s="98">
        <f>ROUND(AQ12/'Table 3 Levels 1&amp;2'!C12,2)</f>
        <v>1265.69</v>
      </c>
    </row>
    <row r="13" spans="1:44" ht="12.75">
      <c r="A13" s="13">
        <v>6</v>
      </c>
      <c r="B13" s="89" t="s">
        <v>307</v>
      </c>
      <c r="C13" s="15">
        <f>'[7]Final'!C14</f>
        <v>207569449</v>
      </c>
      <c r="D13" s="15">
        <f>'[7]Final'!D14</f>
        <v>46489714</v>
      </c>
      <c r="E13" s="15">
        <f t="shared" si="9"/>
        <v>161079735</v>
      </c>
      <c r="F13" s="15">
        <f>'[6]Table 7 Local Revenue'!E13</f>
        <v>155094988</v>
      </c>
      <c r="G13" s="17">
        <f t="shared" si="10"/>
        <v>0.03858762347626604</v>
      </c>
      <c r="H13" s="458">
        <f t="shared" si="1"/>
        <v>161079735</v>
      </c>
      <c r="I13" s="794">
        <v>4.37</v>
      </c>
      <c r="J13" s="748">
        <v>852492</v>
      </c>
      <c r="K13" s="794">
        <v>27.18</v>
      </c>
      <c r="L13" s="748">
        <v>4496963</v>
      </c>
      <c r="M13" s="747">
        <v>0</v>
      </c>
      <c r="N13" s="747">
        <v>0</v>
      </c>
      <c r="O13" s="747">
        <v>0</v>
      </c>
      <c r="P13" s="748">
        <v>0</v>
      </c>
      <c r="Q13" s="15">
        <f t="shared" si="11"/>
        <v>5349455</v>
      </c>
      <c r="R13" s="747">
        <v>17.8</v>
      </c>
      <c r="S13" s="748">
        <v>2811472</v>
      </c>
      <c r="T13" s="747">
        <v>0</v>
      </c>
      <c r="U13" s="747">
        <v>0</v>
      </c>
      <c r="V13" s="747">
        <v>0</v>
      </c>
      <c r="W13" s="748">
        <v>0</v>
      </c>
      <c r="X13" s="15">
        <f t="shared" si="12"/>
        <v>2811472</v>
      </c>
      <c r="Y13" s="188">
        <f t="shared" si="13"/>
        <v>49.35</v>
      </c>
      <c r="Z13" s="15">
        <f t="shared" si="14"/>
        <v>8160927</v>
      </c>
      <c r="AA13" s="15">
        <f t="shared" si="15"/>
        <v>0</v>
      </c>
      <c r="AB13" s="189">
        <f t="shared" si="2"/>
        <v>17.45</v>
      </c>
      <c r="AC13" s="190">
        <f t="shared" si="3"/>
        <v>33.21</v>
      </c>
      <c r="AD13" s="156">
        <f t="shared" si="4"/>
        <v>50.66</v>
      </c>
      <c r="AE13" s="97">
        <f t="shared" si="16"/>
        <v>8160927</v>
      </c>
      <c r="AF13" s="201">
        <v>0.02</v>
      </c>
      <c r="AG13" s="97">
        <v>9745653</v>
      </c>
      <c r="AH13" s="97">
        <v>0</v>
      </c>
      <c r="AI13" s="758">
        <f t="shared" si="17"/>
        <v>9745653</v>
      </c>
      <c r="AJ13" s="97">
        <f>'[6]Table 7 Local Revenue'!AK13</f>
        <v>412619150</v>
      </c>
      <c r="AK13" s="97">
        <f t="shared" si="5"/>
        <v>487282650</v>
      </c>
      <c r="AL13" s="579">
        <f t="shared" si="18"/>
        <v>0.18095015706372328</v>
      </c>
      <c r="AM13" s="523">
        <f t="shared" si="19"/>
        <v>474512022.49999994</v>
      </c>
      <c r="AN13" s="158">
        <f t="shared" si="6"/>
        <v>0.02</v>
      </c>
      <c r="AO13" s="158">
        <f t="shared" si="7"/>
        <v>0</v>
      </c>
      <c r="AP13" s="97">
        <v>312145</v>
      </c>
      <c r="AQ13" s="97">
        <f t="shared" si="8"/>
        <v>18218725</v>
      </c>
      <c r="AR13" s="97">
        <f>ROUND(AQ13/'Table 3 Levels 1&amp;2'!C13,2)</f>
        <v>3082.69</v>
      </c>
    </row>
    <row r="14" spans="1:44" ht="12.75">
      <c r="A14" s="13">
        <v>7</v>
      </c>
      <c r="B14" s="89" t="s">
        <v>308</v>
      </c>
      <c r="C14" s="15">
        <f>'[7]Final'!C15</f>
        <v>259810920</v>
      </c>
      <c r="D14" s="15">
        <f>'[7]Final'!D15</f>
        <v>14403911</v>
      </c>
      <c r="E14" s="15">
        <f t="shared" si="9"/>
        <v>245407009</v>
      </c>
      <c r="F14" s="15">
        <f>'[6]Table 7 Local Revenue'!E14</f>
        <v>182905400</v>
      </c>
      <c r="G14" s="577">
        <f t="shared" si="10"/>
        <v>0.3417154933643293</v>
      </c>
      <c r="H14" s="461">
        <f t="shared" si="1"/>
        <v>201195940.00000003</v>
      </c>
      <c r="I14" s="794">
        <v>5.71</v>
      </c>
      <c r="J14" s="748">
        <v>1200107</v>
      </c>
      <c r="K14" s="794">
        <v>46.07</v>
      </c>
      <c r="L14" s="748">
        <v>9682797</v>
      </c>
      <c r="M14" s="747">
        <v>0</v>
      </c>
      <c r="N14" s="747">
        <v>0</v>
      </c>
      <c r="O14" s="747">
        <v>0</v>
      </c>
      <c r="P14" s="748">
        <v>0</v>
      </c>
      <c r="Q14" s="15">
        <f t="shared" si="11"/>
        <v>10882904</v>
      </c>
      <c r="R14" s="747">
        <v>0</v>
      </c>
      <c r="S14" s="748">
        <v>0</v>
      </c>
      <c r="T14" s="747">
        <v>9.24</v>
      </c>
      <c r="U14" s="747">
        <v>31.21</v>
      </c>
      <c r="V14" s="747">
        <v>7</v>
      </c>
      <c r="W14" s="748">
        <v>1134655</v>
      </c>
      <c r="X14" s="15">
        <f t="shared" si="12"/>
        <v>1134655</v>
      </c>
      <c r="Y14" s="188">
        <f t="shared" si="13"/>
        <v>51.78</v>
      </c>
      <c r="Z14" s="15">
        <f t="shared" si="14"/>
        <v>10882904</v>
      </c>
      <c r="AA14" s="15">
        <f t="shared" si="15"/>
        <v>1134655</v>
      </c>
      <c r="AB14" s="189">
        <f t="shared" si="2"/>
        <v>4.62</v>
      </c>
      <c r="AC14" s="190">
        <f t="shared" si="3"/>
        <v>44.35</v>
      </c>
      <c r="AD14" s="156">
        <f t="shared" si="4"/>
        <v>48.97</v>
      </c>
      <c r="AE14" s="97">
        <f t="shared" si="16"/>
        <v>12017559</v>
      </c>
      <c r="AF14" s="201">
        <v>0.02</v>
      </c>
      <c r="AG14" s="97">
        <v>7618625</v>
      </c>
      <c r="AH14" s="97">
        <v>0</v>
      </c>
      <c r="AI14" s="758">
        <f t="shared" si="17"/>
        <v>7618625</v>
      </c>
      <c r="AJ14" s="97">
        <f>'[6]Table 7 Local Revenue'!AK14</f>
        <v>299888050</v>
      </c>
      <c r="AK14" s="97">
        <f t="shared" si="5"/>
        <v>380931250</v>
      </c>
      <c r="AL14" s="579">
        <f t="shared" si="18"/>
        <v>0.27024484636850316</v>
      </c>
      <c r="AM14" s="523">
        <f t="shared" si="19"/>
        <v>344871257.5</v>
      </c>
      <c r="AN14" s="158">
        <f t="shared" si="6"/>
        <v>0.02</v>
      </c>
      <c r="AO14" s="158">
        <f t="shared" si="7"/>
        <v>0</v>
      </c>
      <c r="AP14" s="97">
        <v>148143</v>
      </c>
      <c r="AQ14" s="97">
        <f t="shared" si="8"/>
        <v>19784327</v>
      </c>
      <c r="AR14" s="97">
        <f>ROUND(AQ14/'Table 3 Levels 1&amp;2'!C14,2)</f>
        <v>9323.43</v>
      </c>
    </row>
    <row r="15" spans="1:44" ht="12.75">
      <c r="A15" s="13">
        <v>8</v>
      </c>
      <c r="B15" s="89" t="s">
        <v>309</v>
      </c>
      <c r="C15" s="15">
        <f>'[7]Final'!C16</f>
        <v>747619410</v>
      </c>
      <c r="D15" s="15">
        <f>'[7]Final'!D16</f>
        <v>165120946</v>
      </c>
      <c r="E15" s="15">
        <f t="shared" si="9"/>
        <v>582498464</v>
      </c>
      <c r="F15" s="15">
        <f>'[6]Table 7 Local Revenue'!E15</f>
        <v>549508273</v>
      </c>
      <c r="G15" s="17">
        <f t="shared" si="10"/>
        <v>0.060035840443115586</v>
      </c>
      <c r="H15" s="458">
        <f t="shared" si="1"/>
        <v>582498464</v>
      </c>
      <c r="I15" s="794">
        <v>3.63</v>
      </c>
      <c r="J15" s="748">
        <v>3573054</v>
      </c>
      <c r="K15" s="794">
        <v>39.35</v>
      </c>
      <c r="L15" s="748">
        <v>20590807</v>
      </c>
      <c r="M15" s="747">
        <v>0</v>
      </c>
      <c r="N15" s="747">
        <v>0</v>
      </c>
      <c r="O15" s="747">
        <v>0</v>
      </c>
      <c r="P15" s="748">
        <v>0</v>
      </c>
      <c r="Q15" s="15">
        <f t="shared" si="11"/>
        <v>24163861</v>
      </c>
      <c r="R15" s="747">
        <v>0</v>
      </c>
      <c r="S15" s="748">
        <v>0</v>
      </c>
      <c r="T15" s="747">
        <v>13.55</v>
      </c>
      <c r="U15" s="747">
        <v>13.55</v>
      </c>
      <c r="V15" s="747">
        <v>1</v>
      </c>
      <c r="W15" s="748">
        <v>7601178</v>
      </c>
      <c r="X15" s="15">
        <f t="shared" si="12"/>
        <v>7601178</v>
      </c>
      <c r="Y15" s="188">
        <f t="shared" si="13"/>
        <v>42.980000000000004</v>
      </c>
      <c r="Z15" s="15">
        <f t="shared" si="14"/>
        <v>24163861</v>
      </c>
      <c r="AA15" s="15">
        <f t="shared" si="15"/>
        <v>7601178</v>
      </c>
      <c r="AB15" s="189">
        <f t="shared" si="2"/>
        <v>13.05</v>
      </c>
      <c r="AC15" s="190">
        <f t="shared" si="3"/>
        <v>41.48</v>
      </c>
      <c r="AD15" s="156">
        <f t="shared" si="4"/>
        <v>54.53</v>
      </c>
      <c r="AE15" s="97">
        <f t="shared" si="16"/>
        <v>31765039</v>
      </c>
      <c r="AF15" s="201">
        <v>0.0175</v>
      </c>
      <c r="AG15" s="97">
        <v>39176567</v>
      </c>
      <c r="AH15" s="97">
        <v>0</v>
      </c>
      <c r="AI15" s="758">
        <f t="shared" si="17"/>
        <v>39176567</v>
      </c>
      <c r="AJ15" s="97">
        <f>'[6]Table 7 Local Revenue'!AK15</f>
        <v>2231076914</v>
      </c>
      <c r="AK15" s="97">
        <f t="shared" si="5"/>
        <v>2238660971</v>
      </c>
      <c r="AL15" s="201">
        <f t="shared" si="18"/>
        <v>0.0033992808371643615</v>
      </c>
      <c r="AM15" s="97">
        <f t="shared" si="19"/>
        <v>2238660971</v>
      </c>
      <c r="AN15" s="158">
        <f t="shared" si="6"/>
        <v>0.017500000003350218</v>
      </c>
      <c r="AO15" s="158">
        <f t="shared" si="7"/>
        <v>0</v>
      </c>
      <c r="AP15" s="97">
        <v>657255</v>
      </c>
      <c r="AQ15" s="97">
        <f t="shared" si="8"/>
        <v>71598861</v>
      </c>
      <c r="AR15" s="97">
        <f>ROUND(AQ15/'Table 3 Levels 1&amp;2'!C15,2)</f>
        <v>3713.25</v>
      </c>
    </row>
    <row r="16" spans="1:44" ht="12.75">
      <c r="A16" s="13">
        <v>9</v>
      </c>
      <c r="B16" s="89" t="s">
        <v>310</v>
      </c>
      <c r="C16" s="15">
        <f>'[7]Final'!C17</f>
        <v>1513460630</v>
      </c>
      <c r="D16" s="15">
        <f>'[7]Final'!D17</f>
        <v>330772720</v>
      </c>
      <c r="E16" s="15">
        <f t="shared" si="9"/>
        <v>1182687910</v>
      </c>
      <c r="F16" s="15">
        <f>'[6]Table 7 Local Revenue'!E16</f>
        <v>1148315340</v>
      </c>
      <c r="G16" s="17">
        <f t="shared" si="10"/>
        <v>0.029933040866631636</v>
      </c>
      <c r="H16" s="458">
        <f t="shared" si="1"/>
        <v>1182687910</v>
      </c>
      <c r="I16" s="794">
        <v>8.48</v>
      </c>
      <c r="J16" s="748">
        <v>9736130</v>
      </c>
      <c r="K16" s="794">
        <v>66.73</v>
      </c>
      <c r="L16" s="748">
        <v>76609107</v>
      </c>
      <c r="M16" s="747">
        <v>0</v>
      </c>
      <c r="N16" s="747">
        <v>0</v>
      </c>
      <c r="O16" s="747">
        <v>0</v>
      </c>
      <c r="P16" s="748">
        <v>0</v>
      </c>
      <c r="Q16" s="15">
        <f t="shared" si="11"/>
        <v>86345237</v>
      </c>
      <c r="R16" s="747">
        <v>7.6</v>
      </c>
      <c r="S16" s="748">
        <v>8724146</v>
      </c>
      <c r="T16" s="747">
        <v>0</v>
      </c>
      <c r="U16" s="747">
        <v>0</v>
      </c>
      <c r="V16" s="747">
        <v>0</v>
      </c>
      <c r="W16" s="748">
        <v>0</v>
      </c>
      <c r="X16" s="15">
        <f t="shared" si="12"/>
        <v>8724146</v>
      </c>
      <c r="Y16" s="188">
        <f t="shared" si="13"/>
        <v>82.81</v>
      </c>
      <c r="Z16" s="15">
        <f t="shared" si="14"/>
        <v>95069383</v>
      </c>
      <c r="AA16" s="15">
        <f t="shared" si="15"/>
        <v>0</v>
      </c>
      <c r="AB16" s="189">
        <f t="shared" si="2"/>
        <v>7.38</v>
      </c>
      <c r="AC16" s="190">
        <f t="shared" si="3"/>
        <v>73.01</v>
      </c>
      <c r="AD16" s="156">
        <f t="shared" si="4"/>
        <v>80.38</v>
      </c>
      <c r="AE16" s="97">
        <f t="shared" si="16"/>
        <v>95069383</v>
      </c>
      <c r="AF16" s="201">
        <v>0.015</v>
      </c>
      <c r="AG16" s="97">
        <v>67222913</v>
      </c>
      <c r="AH16" s="97">
        <v>0</v>
      </c>
      <c r="AI16" s="758">
        <f t="shared" si="17"/>
        <v>67222913</v>
      </c>
      <c r="AJ16" s="97">
        <f>'[6]Table 7 Local Revenue'!AK16</f>
        <v>4374637267</v>
      </c>
      <c r="AK16" s="97">
        <f t="shared" si="5"/>
        <v>4481527533</v>
      </c>
      <c r="AL16" s="201">
        <f t="shared" si="18"/>
        <v>0.02443408663989695</v>
      </c>
      <c r="AM16" s="97">
        <f t="shared" si="19"/>
        <v>4481527533</v>
      </c>
      <c r="AN16" s="158">
        <f t="shared" si="6"/>
        <v>0.01500000000111569</v>
      </c>
      <c r="AO16" s="158">
        <f t="shared" si="7"/>
        <v>0</v>
      </c>
      <c r="AP16" s="97">
        <v>3144198</v>
      </c>
      <c r="AQ16" s="97">
        <f t="shared" si="8"/>
        <v>165436494</v>
      </c>
      <c r="AR16" s="97">
        <f>ROUND(AQ16/'Table 3 Levels 1&amp;2'!C16,2)</f>
        <v>3998.95</v>
      </c>
    </row>
    <row r="17" spans="1:44" ht="12.75">
      <c r="A17" s="19">
        <v>10</v>
      </c>
      <c r="B17" s="90" t="s">
        <v>311</v>
      </c>
      <c r="C17" s="21">
        <f>'[7]Final'!C18</f>
        <v>1435976560</v>
      </c>
      <c r="D17" s="21">
        <f>'[7]Final'!D18</f>
        <v>253266522</v>
      </c>
      <c r="E17" s="21">
        <f t="shared" si="9"/>
        <v>1182710038</v>
      </c>
      <c r="F17" s="21">
        <f>'[6]Table 7 Local Revenue'!E17</f>
        <v>1062414142</v>
      </c>
      <c r="G17" s="578">
        <f t="shared" si="10"/>
        <v>0.1132288165644542</v>
      </c>
      <c r="H17" s="462">
        <f t="shared" si="1"/>
        <v>1168655556.2</v>
      </c>
      <c r="I17" s="795">
        <v>5.57</v>
      </c>
      <c r="J17" s="750">
        <v>6444720</v>
      </c>
      <c r="K17" s="795">
        <v>13.15</v>
      </c>
      <c r="L17" s="750">
        <v>15215072</v>
      </c>
      <c r="M17" s="749">
        <v>9.87</v>
      </c>
      <c r="N17" s="749">
        <v>9.87</v>
      </c>
      <c r="O17" s="749">
        <v>1</v>
      </c>
      <c r="P17" s="750">
        <v>138849</v>
      </c>
      <c r="Q17" s="21">
        <f t="shared" si="11"/>
        <v>21798641</v>
      </c>
      <c r="R17" s="749">
        <v>0</v>
      </c>
      <c r="S17" s="750">
        <v>0</v>
      </c>
      <c r="T17" s="749">
        <v>5.6</v>
      </c>
      <c r="U17" s="749">
        <v>41</v>
      </c>
      <c r="V17" s="749">
        <v>11</v>
      </c>
      <c r="W17" s="750">
        <v>18789911</v>
      </c>
      <c r="X17" s="21">
        <f t="shared" si="12"/>
        <v>18789911</v>
      </c>
      <c r="Y17" s="191">
        <f t="shared" si="13"/>
        <v>18.72</v>
      </c>
      <c r="Z17" s="21">
        <f t="shared" si="14"/>
        <v>21659792</v>
      </c>
      <c r="AA17" s="21">
        <f t="shared" si="15"/>
        <v>18928760</v>
      </c>
      <c r="AB17" s="192">
        <f t="shared" si="2"/>
        <v>15.89</v>
      </c>
      <c r="AC17" s="193">
        <f t="shared" si="3"/>
        <v>18.43</v>
      </c>
      <c r="AD17" s="157">
        <f t="shared" si="4"/>
        <v>34.32</v>
      </c>
      <c r="AE17" s="98">
        <f t="shared" si="16"/>
        <v>40588552</v>
      </c>
      <c r="AF17" s="202">
        <v>0.02</v>
      </c>
      <c r="AG17" s="98">
        <v>92522498</v>
      </c>
      <c r="AH17" s="98">
        <v>0</v>
      </c>
      <c r="AI17" s="759">
        <f t="shared" si="17"/>
        <v>92522498</v>
      </c>
      <c r="AJ17" s="98">
        <f>'[6]Table 7 Local Revenue'!AK17</f>
        <v>4431431550</v>
      </c>
      <c r="AK17" s="98">
        <f t="shared" si="5"/>
        <v>4626124900</v>
      </c>
      <c r="AL17" s="202">
        <f t="shared" si="18"/>
        <v>0.04393464003748405</v>
      </c>
      <c r="AM17" s="98">
        <f t="shared" si="19"/>
        <v>4626124900</v>
      </c>
      <c r="AN17" s="159">
        <f t="shared" si="6"/>
        <v>0.02</v>
      </c>
      <c r="AO17" s="159">
        <f t="shared" si="7"/>
        <v>0</v>
      </c>
      <c r="AP17" s="98">
        <v>1007605</v>
      </c>
      <c r="AQ17" s="98">
        <f t="shared" si="8"/>
        <v>134118655</v>
      </c>
      <c r="AR17" s="98">
        <f>ROUND(AQ17/'Table 3 Levels 1&amp;2'!C17,2)</f>
        <v>4342.94</v>
      </c>
    </row>
    <row r="18" spans="1:44" ht="12.75">
      <c r="A18" s="13">
        <v>11</v>
      </c>
      <c r="B18" s="89" t="s">
        <v>312</v>
      </c>
      <c r="C18" s="15">
        <f>'[7]Final'!C19</f>
        <v>48902140</v>
      </c>
      <c r="D18" s="15">
        <f>'[7]Final'!D19</f>
        <v>12492830</v>
      </c>
      <c r="E18" s="15">
        <f t="shared" si="9"/>
        <v>36409310</v>
      </c>
      <c r="F18" s="15">
        <f>'[6]Table 7 Local Revenue'!E18</f>
        <v>36677330</v>
      </c>
      <c r="G18" s="158">
        <f t="shared" si="10"/>
        <v>-0.007307511206513669</v>
      </c>
      <c r="H18" s="460">
        <f t="shared" si="1"/>
        <v>36409310</v>
      </c>
      <c r="I18" s="794">
        <v>5.37</v>
      </c>
      <c r="J18" s="748">
        <v>192882</v>
      </c>
      <c r="K18" s="794">
        <v>32.52</v>
      </c>
      <c r="L18" s="748">
        <v>1155035</v>
      </c>
      <c r="M18" s="747">
        <v>0</v>
      </c>
      <c r="N18" s="747">
        <v>0</v>
      </c>
      <c r="O18" s="747">
        <v>0</v>
      </c>
      <c r="P18" s="748">
        <v>0</v>
      </c>
      <c r="Q18" s="15">
        <f t="shared" si="11"/>
        <v>1347917</v>
      </c>
      <c r="R18" s="747">
        <v>0</v>
      </c>
      <c r="S18" s="748">
        <v>0</v>
      </c>
      <c r="T18" s="747">
        <v>0</v>
      </c>
      <c r="U18" s="747">
        <v>0</v>
      </c>
      <c r="V18" s="747">
        <v>0</v>
      </c>
      <c r="W18" s="748">
        <v>0</v>
      </c>
      <c r="X18" s="15">
        <f t="shared" si="12"/>
        <v>0</v>
      </c>
      <c r="Y18" s="188">
        <f t="shared" si="13"/>
        <v>37.89</v>
      </c>
      <c r="Z18" s="15">
        <f t="shared" si="14"/>
        <v>1347917</v>
      </c>
      <c r="AA18" s="15">
        <f t="shared" si="15"/>
        <v>0</v>
      </c>
      <c r="AB18" s="189">
        <f t="shared" si="2"/>
        <v>0</v>
      </c>
      <c r="AC18" s="190">
        <f t="shared" si="3"/>
        <v>37.02</v>
      </c>
      <c r="AD18" s="156">
        <f t="shared" si="4"/>
        <v>37.02</v>
      </c>
      <c r="AE18" s="97">
        <f t="shared" si="16"/>
        <v>1347917</v>
      </c>
      <c r="AF18" s="201">
        <v>0.02</v>
      </c>
      <c r="AG18" s="97">
        <v>1956193</v>
      </c>
      <c r="AH18" s="97">
        <v>0</v>
      </c>
      <c r="AI18" s="758">
        <f t="shared" si="17"/>
        <v>1956193</v>
      </c>
      <c r="AJ18" s="97">
        <f>'[6]Table 7 Local Revenue'!AK18</f>
        <v>104560950</v>
      </c>
      <c r="AK18" s="97">
        <f t="shared" si="5"/>
        <v>97809650</v>
      </c>
      <c r="AL18" s="201">
        <f t="shared" si="18"/>
        <v>-0.0645680820612284</v>
      </c>
      <c r="AM18" s="97">
        <f t="shared" si="19"/>
        <v>97809650</v>
      </c>
      <c r="AN18" s="158">
        <f t="shared" si="6"/>
        <v>0.02</v>
      </c>
      <c r="AO18" s="158">
        <f t="shared" si="7"/>
        <v>0</v>
      </c>
      <c r="AP18" s="97">
        <v>119492</v>
      </c>
      <c r="AQ18" s="97">
        <f t="shared" si="8"/>
        <v>3423602</v>
      </c>
      <c r="AR18" s="97">
        <f>ROUND(AQ18/'Table 3 Levels 1&amp;2'!C18,2)</f>
        <v>2096.51</v>
      </c>
    </row>
    <row r="19" spans="1:44" ht="12.75">
      <c r="A19" s="13">
        <v>12</v>
      </c>
      <c r="B19" s="89" t="s">
        <v>313</v>
      </c>
      <c r="C19" s="15">
        <f>'[7]Final'!C20</f>
        <v>189218897</v>
      </c>
      <c r="D19" s="15">
        <f>'[7]Final'!D20</f>
        <v>7973836</v>
      </c>
      <c r="E19" s="15">
        <f t="shared" si="9"/>
        <v>181245061</v>
      </c>
      <c r="F19" s="15">
        <f>'[6]Table 7 Local Revenue'!E19</f>
        <v>145205926</v>
      </c>
      <c r="G19" s="577">
        <f t="shared" si="10"/>
        <v>0.24819327965994997</v>
      </c>
      <c r="H19" s="461">
        <f t="shared" si="1"/>
        <v>159726518.60000002</v>
      </c>
      <c r="I19" s="794">
        <v>4.45</v>
      </c>
      <c r="J19" s="748">
        <v>951947</v>
      </c>
      <c r="K19" s="794">
        <v>42.92</v>
      </c>
      <c r="L19" s="748">
        <v>9181544</v>
      </c>
      <c r="M19" s="747">
        <v>0</v>
      </c>
      <c r="N19" s="747">
        <v>0</v>
      </c>
      <c r="O19" s="747">
        <v>0</v>
      </c>
      <c r="P19" s="748">
        <v>0</v>
      </c>
      <c r="Q19" s="15">
        <f t="shared" si="11"/>
        <v>10133491</v>
      </c>
      <c r="R19" s="747">
        <v>0</v>
      </c>
      <c r="S19" s="748">
        <v>1730804</v>
      </c>
      <c r="T19" s="747">
        <v>4</v>
      </c>
      <c r="U19" s="747">
        <v>30</v>
      </c>
      <c r="V19" s="747">
        <v>4</v>
      </c>
      <c r="W19" s="748">
        <v>0</v>
      </c>
      <c r="X19" s="15">
        <f t="shared" si="12"/>
        <v>1730804</v>
      </c>
      <c r="Y19" s="188">
        <f t="shared" si="13"/>
        <v>47.370000000000005</v>
      </c>
      <c r="Z19" s="15">
        <f t="shared" si="14"/>
        <v>11864295</v>
      </c>
      <c r="AA19" s="15">
        <f t="shared" si="15"/>
        <v>0</v>
      </c>
      <c r="AB19" s="189">
        <f t="shared" si="2"/>
        <v>9.55</v>
      </c>
      <c r="AC19" s="190">
        <f t="shared" si="3"/>
        <v>55.91</v>
      </c>
      <c r="AD19" s="156">
        <f t="shared" si="4"/>
        <v>65.46</v>
      </c>
      <c r="AE19" s="97">
        <f t="shared" si="16"/>
        <v>11864295</v>
      </c>
      <c r="AF19" s="201">
        <v>0</v>
      </c>
      <c r="AG19" s="97">
        <v>0</v>
      </c>
      <c r="AH19" s="97">
        <v>0</v>
      </c>
      <c r="AI19" s="758">
        <f t="shared" si="17"/>
        <v>0</v>
      </c>
      <c r="AJ19" s="97">
        <f>'[6]Table 7 Local Revenue'!AK19</f>
        <v>31944853</v>
      </c>
      <c r="AK19" s="371">
        <v>43257943</v>
      </c>
      <c r="AL19" s="579">
        <f t="shared" si="18"/>
        <v>0.3541443749952457</v>
      </c>
      <c r="AM19" s="523">
        <f t="shared" si="19"/>
        <v>36736580.949999996</v>
      </c>
      <c r="AN19" s="158">
        <f t="shared" si="6"/>
        <v>0</v>
      </c>
      <c r="AO19" s="158">
        <f t="shared" si="7"/>
        <v>0</v>
      </c>
      <c r="AP19" s="97">
        <v>1311219</v>
      </c>
      <c r="AQ19" s="97">
        <f t="shared" si="8"/>
        <v>13175514</v>
      </c>
      <c r="AR19" s="97">
        <f>ROUND(AQ19/'Table 3 Levels 1&amp;2'!C19,2)</f>
        <v>10080.73</v>
      </c>
    </row>
    <row r="20" spans="1:44" ht="12.75">
      <c r="A20" s="13">
        <v>13</v>
      </c>
      <c r="B20" s="89" t="s">
        <v>314</v>
      </c>
      <c r="C20" s="15">
        <f>'[7]Final'!C21</f>
        <v>44396640</v>
      </c>
      <c r="D20" s="15">
        <f>'[7]Final'!D21</f>
        <v>13651175</v>
      </c>
      <c r="E20" s="15">
        <f t="shared" si="9"/>
        <v>30745465</v>
      </c>
      <c r="F20" s="15">
        <f>'[6]Table 7 Local Revenue'!E20</f>
        <v>29483535</v>
      </c>
      <c r="G20" s="17">
        <f t="shared" si="10"/>
        <v>0.04280117699590636</v>
      </c>
      <c r="H20" s="458">
        <f t="shared" si="1"/>
        <v>30745465</v>
      </c>
      <c r="I20" s="794">
        <v>4.12</v>
      </c>
      <c r="J20" s="748">
        <v>126421</v>
      </c>
      <c r="K20" s="794">
        <v>12.67</v>
      </c>
      <c r="L20" s="748">
        <v>388733</v>
      </c>
      <c r="M20" s="747">
        <v>3.31</v>
      </c>
      <c r="N20" s="747">
        <v>5.18</v>
      </c>
      <c r="O20" s="747">
        <v>4</v>
      </c>
      <c r="P20" s="748">
        <v>123722</v>
      </c>
      <c r="Q20" s="15">
        <f t="shared" si="11"/>
        <v>638876</v>
      </c>
      <c r="R20" s="747">
        <v>0</v>
      </c>
      <c r="S20" s="748">
        <v>0</v>
      </c>
      <c r="T20" s="747">
        <v>6</v>
      </c>
      <c r="U20" s="747">
        <v>20</v>
      </c>
      <c r="V20" s="747">
        <v>2</v>
      </c>
      <c r="W20" s="748">
        <v>192817</v>
      </c>
      <c r="X20" s="15">
        <f t="shared" si="12"/>
        <v>192817</v>
      </c>
      <c r="Y20" s="188">
        <f t="shared" si="13"/>
        <v>16.79</v>
      </c>
      <c r="Z20" s="15">
        <f t="shared" si="14"/>
        <v>515154</v>
      </c>
      <c r="AA20" s="15">
        <f t="shared" si="15"/>
        <v>316539</v>
      </c>
      <c r="AB20" s="189">
        <f t="shared" si="2"/>
        <v>6.27</v>
      </c>
      <c r="AC20" s="190">
        <f t="shared" si="3"/>
        <v>20.78</v>
      </c>
      <c r="AD20" s="156">
        <f t="shared" si="4"/>
        <v>27.05</v>
      </c>
      <c r="AE20" s="97">
        <f t="shared" si="16"/>
        <v>831693</v>
      </c>
      <c r="AF20" s="201">
        <v>0.02</v>
      </c>
      <c r="AG20" s="97">
        <v>1905028</v>
      </c>
      <c r="AH20" s="97">
        <v>0</v>
      </c>
      <c r="AI20" s="758">
        <f t="shared" si="17"/>
        <v>1905028</v>
      </c>
      <c r="AJ20" s="97">
        <f>'[6]Table 7 Local Revenue'!AK20</f>
        <v>91712900</v>
      </c>
      <c r="AK20" s="97">
        <f aca="true" t="shared" si="20" ref="AK20:AK51">ROUND(AI20/AF20,0)</f>
        <v>95251400</v>
      </c>
      <c r="AL20" s="201">
        <f t="shared" si="18"/>
        <v>0.038582358643113455</v>
      </c>
      <c r="AM20" s="97">
        <f t="shared" si="19"/>
        <v>95251400</v>
      </c>
      <c r="AN20" s="158">
        <f t="shared" si="6"/>
        <v>0.02</v>
      </c>
      <c r="AO20" s="158">
        <f t="shared" si="7"/>
        <v>0</v>
      </c>
      <c r="AP20" s="97">
        <v>94384</v>
      </c>
      <c r="AQ20" s="97">
        <f t="shared" si="8"/>
        <v>2831105</v>
      </c>
      <c r="AR20" s="97">
        <f>ROUND(AQ20/'Table 3 Levels 1&amp;2'!C20,2)</f>
        <v>1759.54</v>
      </c>
    </row>
    <row r="21" spans="1:44" ht="12.75">
      <c r="A21" s="13">
        <v>14</v>
      </c>
      <c r="B21" s="89" t="s">
        <v>315</v>
      </c>
      <c r="C21" s="15">
        <f>'[7]Final'!C22</f>
        <v>105802236</v>
      </c>
      <c r="D21" s="15">
        <f>'[7]Final'!D22</f>
        <v>19822609</v>
      </c>
      <c r="E21" s="15">
        <f t="shared" si="9"/>
        <v>85979627</v>
      </c>
      <c r="F21" s="15">
        <f>'[6]Table 7 Local Revenue'!E21</f>
        <v>79250657</v>
      </c>
      <c r="G21" s="17">
        <f t="shared" si="10"/>
        <v>0.08490743489987723</v>
      </c>
      <c r="H21" s="458">
        <f t="shared" si="1"/>
        <v>85979627</v>
      </c>
      <c r="I21" s="794">
        <v>5.94</v>
      </c>
      <c r="J21" s="748">
        <v>508493</v>
      </c>
      <c r="K21" s="794">
        <v>11.56</v>
      </c>
      <c r="L21" s="748">
        <v>499446</v>
      </c>
      <c r="M21" s="747">
        <v>3.88</v>
      </c>
      <c r="N21" s="747">
        <v>12.34</v>
      </c>
      <c r="O21" s="747">
        <v>5</v>
      </c>
      <c r="P21" s="748">
        <v>1059289</v>
      </c>
      <c r="Q21" s="15">
        <f t="shared" si="11"/>
        <v>2067228</v>
      </c>
      <c r="R21" s="747">
        <v>0</v>
      </c>
      <c r="S21" s="748">
        <v>0</v>
      </c>
      <c r="T21" s="747">
        <v>31.5</v>
      </c>
      <c r="U21" s="747">
        <v>35.42</v>
      </c>
      <c r="V21" s="747">
        <v>2</v>
      </c>
      <c r="W21" s="748">
        <v>1741536</v>
      </c>
      <c r="X21" s="15">
        <f t="shared" si="12"/>
        <v>1741536</v>
      </c>
      <c r="Y21" s="188">
        <f t="shared" si="13"/>
        <v>17.5</v>
      </c>
      <c r="Z21" s="15">
        <f t="shared" si="14"/>
        <v>1007939</v>
      </c>
      <c r="AA21" s="15">
        <f t="shared" si="15"/>
        <v>2800825</v>
      </c>
      <c r="AB21" s="189">
        <f t="shared" si="2"/>
        <v>20.26</v>
      </c>
      <c r="AC21" s="190">
        <f t="shared" si="3"/>
        <v>24.04</v>
      </c>
      <c r="AD21" s="156">
        <f t="shared" si="4"/>
        <v>44.3</v>
      </c>
      <c r="AE21" s="97">
        <f t="shared" si="16"/>
        <v>3808764</v>
      </c>
      <c r="AF21" s="201">
        <v>0.02</v>
      </c>
      <c r="AG21" s="97">
        <v>3391776</v>
      </c>
      <c r="AH21" s="97">
        <v>0</v>
      </c>
      <c r="AI21" s="758">
        <f t="shared" si="17"/>
        <v>3391776</v>
      </c>
      <c r="AJ21" s="97">
        <f>'[6]Table 7 Local Revenue'!AK21</f>
        <v>141177300</v>
      </c>
      <c r="AK21" s="97">
        <f t="shared" si="20"/>
        <v>169588800</v>
      </c>
      <c r="AL21" s="579">
        <f t="shared" si="18"/>
        <v>0.20124694267421178</v>
      </c>
      <c r="AM21" s="523">
        <f t="shared" si="19"/>
        <v>162353895</v>
      </c>
      <c r="AN21" s="158">
        <f t="shared" si="6"/>
        <v>0.02</v>
      </c>
      <c r="AO21" s="158">
        <f t="shared" si="7"/>
        <v>0</v>
      </c>
      <c r="AP21" s="97">
        <v>194570</v>
      </c>
      <c r="AQ21" s="97">
        <f t="shared" si="8"/>
        <v>7395110</v>
      </c>
      <c r="AR21" s="97">
        <f>ROUND(AQ21/'Table 3 Levels 1&amp;2'!C21,2)</f>
        <v>3310.26</v>
      </c>
    </row>
    <row r="22" spans="1:44" ht="12.75">
      <c r="A22" s="19">
        <v>15</v>
      </c>
      <c r="B22" s="90" t="s">
        <v>316</v>
      </c>
      <c r="C22" s="21">
        <f>'[7]Final'!C23</f>
        <v>136015650</v>
      </c>
      <c r="D22" s="21">
        <f>'[7]Final'!D23</f>
        <v>26122041</v>
      </c>
      <c r="E22" s="21">
        <f t="shared" si="9"/>
        <v>109893609</v>
      </c>
      <c r="F22" s="21">
        <f>'[6]Table 7 Local Revenue'!E22</f>
        <v>106070757</v>
      </c>
      <c r="G22" s="374">
        <f t="shared" si="10"/>
        <v>0.03604058373977665</v>
      </c>
      <c r="H22" s="459">
        <f t="shared" si="1"/>
        <v>109893609</v>
      </c>
      <c r="I22" s="795">
        <v>2.97</v>
      </c>
      <c r="J22" s="750">
        <v>317836</v>
      </c>
      <c r="K22" s="795">
        <v>36.69</v>
      </c>
      <c r="L22" s="750">
        <v>3939113</v>
      </c>
      <c r="M22" s="749">
        <v>0</v>
      </c>
      <c r="N22" s="749">
        <v>0</v>
      </c>
      <c r="O22" s="749">
        <v>1</v>
      </c>
      <c r="P22" s="750">
        <v>0</v>
      </c>
      <c r="Q22" s="21">
        <f t="shared" si="11"/>
        <v>4256949</v>
      </c>
      <c r="R22" s="749">
        <v>0</v>
      </c>
      <c r="S22" s="750">
        <v>0</v>
      </c>
      <c r="T22" s="749">
        <v>0</v>
      </c>
      <c r="U22" s="749">
        <v>0</v>
      </c>
      <c r="V22" s="749">
        <v>0</v>
      </c>
      <c r="W22" s="750">
        <v>0</v>
      </c>
      <c r="X22" s="21">
        <f t="shared" si="12"/>
        <v>0</v>
      </c>
      <c r="Y22" s="191">
        <f t="shared" si="13"/>
        <v>39.66</v>
      </c>
      <c r="Z22" s="21">
        <f t="shared" si="14"/>
        <v>4256949</v>
      </c>
      <c r="AA22" s="21">
        <f t="shared" si="15"/>
        <v>0</v>
      </c>
      <c r="AB22" s="192">
        <f t="shared" si="2"/>
        <v>0</v>
      </c>
      <c r="AC22" s="193">
        <f t="shared" si="3"/>
        <v>38.74</v>
      </c>
      <c r="AD22" s="157">
        <f t="shared" si="4"/>
        <v>38.74</v>
      </c>
      <c r="AE22" s="98">
        <f t="shared" si="16"/>
        <v>4256949</v>
      </c>
      <c r="AF22" s="202">
        <v>0.02</v>
      </c>
      <c r="AG22" s="98">
        <v>4665182</v>
      </c>
      <c r="AH22" s="98">
        <v>0</v>
      </c>
      <c r="AI22" s="759">
        <f t="shared" si="17"/>
        <v>4665182</v>
      </c>
      <c r="AJ22" s="98">
        <f>'[6]Table 7 Local Revenue'!AK22</f>
        <v>218903100</v>
      </c>
      <c r="AK22" s="98">
        <f t="shared" si="20"/>
        <v>233259100</v>
      </c>
      <c r="AL22" s="202">
        <f t="shared" si="18"/>
        <v>0.06558152899616314</v>
      </c>
      <c r="AM22" s="98">
        <f t="shared" si="19"/>
        <v>233259100</v>
      </c>
      <c r="AN22" s="159">
        <f t="shared" si="6"/>
        <v>0.02</v>
      </c>
      <c r="AO22" s="159">
        <f t="shared" si="7"/>
        <v>0</v>
      </c>
      <c r="AP22" s="98">
        <v>221528</v>
      </c>
      <c r="AQ22" s="98">
        <f t="shared" si="8"/>
        <v>9143659</v>
      </c>
      <c r="AR22" s="98">
        <f>ROUND(AQ22/'Table 3 Levels 1&amp;2'!C22,2)</f>
        <v>2443.52</v>
      </c>
    </row>
    <row r="23" spans="1:44" ht="12.75">
      <c r="A23" s="13">
        <v>16</v>
      </c>
      <c r="B23" s="89" t="s">
        <v>317</v>
      </c>
      <c r="C23" s="15">
        <f>'[7]Final'!C24</f>
        <v>273434195</v>
      </c>
      <c r="D23" s="15">
        <f>'[7]Final'!D24</f>
        <v>36296280</v>
      </c>
      <c r="E23" s="15">
        <f t="shared" si="9"/>
        <v>237137915</v>
      </c>
      <c r="F23" s="15">
        <f>'[6]Table 7 Local Revenue'!E23</f>
        <v>189516652</v>
      </c>
      <c r="G23" s="577">
        <f t="shared" si="10"/>
        <v>0.2512774603046491</v>
      </c>
      <c r="H23" s="461">
        <f t="shared" si="1"/>
        <v>208468317.20000002</v>
      </c>
      <c r="I23" s="794">
        <v>4.56</v>
      </c>
      <c r="J23" s="748">
        <v>1073851</v>
      </c>
      <c r="K23" s="794">
        <v>44</v>
      </c>
      <c r="L23" s="748">
        <v>10377046</v>
      </c>
      <c r="M23" s="747">
        <v>0</v>
      </c>
      <c r="N23" s="747">
        <v>0</v>
      </c>
      <c r="O23" s="747">
        <v>0</v>
      </c>
      <c r="P23" s="748">
        <v>0</v>
      </c>
      <c r="Q23" s="15">
        <f t="shared" si="11"/>
        <v>11450897</v>
      </c>
      <c r="R23" s="747">
        <v>0</v>
      </c>
      <c r="S23" s="748">
        <v>0</v>
      </c>
      <c r="T23" s="747">
        <v>16</v>
      </c>
      <c r="U23" s="747">
        <v>34</v>
      </c>
      <c r="V23" s="747">
        <v>5</v>
      </c>
      <c r="W23" s="748">
        <v>4371078</v>
      </c>
      <c r="X23" s="15">
        <f t="shared" si="12"/>
        <v>4371078</v>
      </c>
      <c r="Y23" s="188">
        <f t="shared" si="13"/>
        <v>48.56</v>
      </c>
      <c r="Z23" s="15">
        <f t="shared" si="14"/>
        <v>11450897</v>
      </c>
      <c r="AA23" s="15">
        <f t="shared" si="15"/>
        <v>4371078</v>
      </c>
      <c r="AB23" s="189">
        <f t="shared" si="2"/>
        <v>18.43</v>
      </c>
      <c r="AC23" s="190">
        <f t="shared" si="3"/>
        <v>48.29</v>
      </c>
      <c r="AD23" s="156">
        <f t="shared" si="4"/>
        <v>66.72</v>
      </c>
      <c r="AE23" s="97">
        <f t="shared" si="16"/>
        <v>15821975</v>
      </c>
      <c r="AF23" s="201">
        <v>0.025</v>
      </c>
      <c r="AG23" s="97">
        <v>13454357</v>
      </c>
      <c r="AH23" s="97">
        <v>511000</v>
      </c>
      <c r="AI23" s="758">
        <f t="shared" si="17"/>
        <v>13965357</v>
      </c>
      <c r="AJ23" s="97">
        <f>'[6]Table 7 Local Revenue'!AK23</f>
        <v>547052400</v>
      </c>
      <c r="AK23" s="97">
        <f t="shared" si="20"/>
        <v>558614280</v>
      </c>
      <c r="AL23" s="201">
        <f t="shared" si="18"/>
        <v>0.02113486751908958</v>
      </c>
      <c r="AM23" s="97">
        <f t="shared" si="19"/>
        <v>558614280</v>
      </c>
      <c r="AN23" s="158">
        <f t="shared" si="6"/>
        <v>0.02408523641751514</v>
      </c>
      <c r="AO23" s="158">
        <f t="shared" si="7"/>
        <v>0.0009147635824848588</v>
      </c>
      <c r="AP23" s="97">
        <v>647712</v>
      </c>
      <c r="AQ23" s="97">
        <f t="shared" si="8"/>
        <v>30435044</v>
      </c>
      <c r="AR23" s="97">
        <f>ROUND(AQ23/'Table 3 Levels 1&amp;2'!C23,2)</f>
        <v>6630.73</v>
      </c>
    </row>
    <row r="24" spans="1:44" s="95" customFormat="1" ht="12.75">
      <c r="A24" s="126">
        <v>17</v>
      </c>
      <c r="B24" s="204" t="s">
        <v>318</v>
      </c>
      <c r="C24" s="97">
        <f>'[7]Final'!C25</f>
        <v>3092308950</v>
      </c>
      <c r="D24" s="97">
        <f>'[7]Final'!D25</f>
        <v>522447050</v>
      </c>
      <c r="E24" s="97">
        <f>C24-D24</f>
        <v>2569861900</v>
      </c>
      <c r="F24" s="97">
        <f>'[6]Table 7 Local Revenue'!E24</f>
        <v>2377641043</v>
      </c>
      <c r="G24" s="158">
        <f t="shared" si="10"/>
        <v>0.08084519636213228</v>
      </c>
      <c r="H24" s="460">
        <f t="shared" si="1"/>
        <v>2569861900</v>
      </c>
      <c r="I24" s="794">
        <v>5.25</v>
      </c>
      <c r="J24" s="748">
        <v>13333062</v>
      </c>
      <c r="K24" s="794">
        <v>38.2</v>
      </c>
      <c r="L24" s="748">
        <v>97016386</v>
      </c>
      <c r="M24" s="747">
        <v>0</v>
      </c>
      <c r="N24" s="747">
        <v>0</v>
      </c>
      <c r="O24" s="747">
        <v>0</v>
      </c>
      <c r="P24" s="748">
        <v>0</v>
      </c>
      <c r="Q24" s="97">
        <f>J24+L24+P24</f>
        <v>110349448</v>
      </c>
      <c r="R24" s="747">
        <v>0</v>
      </c>
      <c r="S24" s="748">
        <v>0</v>
      </c>
      <c r="T24" s="747">
        <v>0</v>
      </c>
      <c r="U24" s="747">
        <v>0</v>
      </c>
      <c r="V24" s="747">
        <v>0</v>
      </c>
      <c r="W24" s="748">
        <v>0</v>
      </c>
      <c r="X24" s="97">
        <f t="shared" si="12"/>
        <v>0</v>
      </c>
      <c r="Y24" s="205">
        <f t="shared" si="13"/>
        <v>43.45</v>
      </c>
      <c r="Z24" s="97">
        <f t="shared" si="14"/>
        <v>110349448</v>
      </c>
      <c r="AA24" s="97">
        <f t="shared" si="15"/>
        <v>0</v>
      </c>
      <c r="AB24" s="206">
        <f t="shared" si="2"/>
        <v>0</v>
      </c>
      <c r="AC24" s="207">
        <f t="shared" si="3"/>
        <v>42.94</v>
      </c>
      <c r="AD24" s="156">
        <f t="shared" si="4"/>
        <v>42.94</v>
      </c>
      <c r="AE24" s="451">
        <f t="shared" si="16"/>
        <v>110349448</v>
      </c>
      <c r="AF24" s="201">
        <v>0.02</v>
      </c>
      <c r="AG24" s="97">
        <v>158700630</v>
      </c>
      <c r="AH24" s="97">
        <v>0</v>
      </c>
      <c r="AI24" s="758">
        <f t="shared" si="17"/>
        <v>158700630</v>
      </c>
      <c r="AJ24" s="97">
        <f>'[6]Table 7 Local Revenue'!AK24</f>
        <v>7718343300</v>
      </c>
      <c r="AK24" s="97">
        <f t="shared" si="20"/>
        <v>7935031500</v>
      </c>
      <c r="AL24" s="201">
        <f t="shared" si="18"/>
        <v>0.02807444442125294</v>
      </c>
      <c r="AM24" s="97">
        <f t="shared" si="19"/>
        <v>7935031500</v>
      </c>
      <c r="AN24" s="158">
        <f t="shared" si="6"/>
        <v>0.02</v>
      </c>
      <c r="AO24" s="158">
        <f t="shared" si="7"/>
        <v>0</v>
      </c>
      <c r="AP24" s="97">
        <v>4214231</v>
      </c>
      <c r="AQ24" s="97">
        <f t="shared" si="8"/>
        <v>273264309</v>
      </c>
      <c r="AR24" s="97">
        <f>ROUND(AQ24/'Table 3 Levels 1&amp;2'!C24,2)</f>
        <v>6369.5</v>
      </c>
    </row>
    <row r="25" spans="1:44" ht="12.75">
      <c r="A25" s="13">
        <v>18</v>
      </c>
      <c r="B25" s="89" t="s">
        <v>319</v>
      </c>
      <c r="C25" s="15">
        <f>'[7]Final'!C26</f>
        <v>36056864</v>
      </c>
      <c r="D25" s="15">
        <f>'[7]Final'!D26</f>
        <v>5324525</v>
      </c>
      <c r="E25" s="15">
        <f t="shared" si="9"/>
        <v>30732339</v>
      </c>
      <c r="F25" s="15">
        <f>'[6]Table 7 Local Revenue'!E25</f>
        <v>28792558</v>
      </c>
      <c r="G25" s="17">
        <f t="shared" si="10"/>
        <v>0.06737091577622245</v>
      </c>
      <c r="H25" s="458">
        <f t="shared" si="1"/>
        <v>30732339</v>
      </c>
      <c r="I25" s="794">
        <v>7.16</v>
      </c>
      <c r="J25" s="748">
        <v>212173</v>
      </c>
      <c r="K25" s="794">
        <v>7.42</v>
      </c>
      <c r="L25" s="748">
        <v>205994</v>
      </c>
      <c r="M25" s="747">
        <v>0</v>
      </c>
      <c r="N25" s="747">
        <v>0</v>
      </c>
      <c r="O25" s="747">
        <v>0</v>
      </c>
      <c r="P25" s="748">
        <v>0</v>
      </c>
      <c r="Q25" s="97">
        <f t="shared" si="11"/>
        <v>418167</v>
      </c>
      <c r="R25" s="747">
        <v>0</v>
      </c>
      <c r="S25" s="748">
        <v>0</v>
      </c>
      <c r="T25" s="747">
        <v>0</v>
      </c>
      <c r="U25" s="747">
        <v>0</v>
      </c>
      <c r="V25" s="747">
        <v>0</v>
      </c>
      <c r="W25" s="748">
        <v>0</v>
      </c>
      <c r="X25" s="15">
        <f t="shared" si="12"/>
        <v>0</v>
      </c>
      <c r="Y25" s="188">
        <f t="shared" si="13"/>
        <v>14.58</v>
      </c>
      <c r="Z25" s="15">
        <f t="shared" si="14"/>
        <v>418167</v>
      </c>
      <c r="AA25" s="15">
        <f t="shared" si="15"/>
        <v>0</v>
      </c>
      <c r="AB25" s="189">
        <f t="shared" si="2"/>
        <v>0</v>
      </c>
      <c r="AC25" s="190">
        <f t="shared" si="3"/>
        <v>13.61</v>
      </c>
      <c r="AD25" s="156">
        <f t="shared" si="4"/>
        <v>13.61</v>
      </c>
      <c r="AE25" s="97">
        <f t="shared" si="16"/>
        <v>418167</v>
      </c>
      <c r="AF25" s="201">
        <v>0.03</v>
      </c>
      <c r="AG25" s="97">
        <v>1548241</v>
      </c>
      <c r="AH25" s="97">
        <v>0</v>
      </c>
      <c r="AI25" s="758">
        <f t="shared" si="17"/>
        <v>1548241</v>
      </c>
      <c r="AJ25" s="97">
        <f>'[6]Table 7 Local Revenue'!AK25</f>
        <v>45392767</v>
      </c>
      <c r="AK25" s="97">
        <f t="shared" si="20"/>
        <v>51608033</v>
      </c>
      <c r="AL25" s="201">
        <f t="shared" si="18"/>
        <v>0.13692194617701978</v>
      </c>
      <c r="AM25" s="97">
        <f t="shared" si="19"/>
        <v>51608033</v>
      </c>
      <c r="AN25" s="158">
        <f t="shared" si="6"/>
        <v>0.030000000193768285</v>
      </c>
      <c r="AO25" s="158">
        <f t="shared" si="7"/>
        <v>0</v>
      </c>
      <c r="AP25" s="97">
        <v>120089</v>
      </c>
      <c r="AQ25" s="97">
        <f t="shared" si="8"/>
        <v>2086497</v>
      </c>
      <c r="AR25" s="97">
        <f>ROUND(AQ25/'Table 3 Levels 1&amp;2'!C25,2)</f>
        <v>1574.71</v>
      </c>
    </row>
    <row r="26" spans="1:44" ht="12.75">
      <c r="A26" s="13">
        <v>19</v>
      </c>
      <c r="B26" s="89" t="s">
        <v>320</v>
      </c>
      <c r="C26" s="15">
        <f>'[7]Final'!C27</f>
        <v>122362750</v>
      </c>
      <c r="D26" s="15">
        <f>'[7]Final'!D27</f>
        <v>30761822</v>
      </c>
      <c r="E26" s="15">
        <f t="shared" si="9"/>
        <v>91600928</v>
      </c>
      <c r="F26" s="15">
        <f>'[6]Table 7 Local Revenue'!E26</f>
        <v>78663578</v>
      </c>
      <c r="G26" s="577">
        <f t="shared" si="10"/>
        <v>0.16446429629732834</v>
      </c>
      <c r="H26" s="461">
        <f t="shared" si="1"/>
        <v>86529935.80000001</v>
      </c>
      <c r="I26" s="794">
        <v>3.34</v>
      </c>
      <c r="J26" s="748">
        <v>326951</v>
      </c>
      <c r="K26" s="794">
        <v>15.51</v>
      </c>
      <c r="L26" s="748">
        <v>1518283</v>
      </c>
      <c r="M26" s="747">
        <v>0</v>
      </c>
      <c r="N26" s="747">
        <v>0</v>
      </c>
      <c r="O26" s="747">
        <v>0</v>
      </c>
      <c r="P26" s="748">
        <v>0</v>
      </c>
      <c r="Q26" s="97">
        <f t="shared" si="11"/>
        <v>1845234</v>
      </c>
      <c r="R26" s="747"/>
      <c r="S26" s="748"/>
      <c r="T26" s="747"/>
      <c r="U26" s="747"/>
      <c r="V26" s="747"/>
      <c r="W26" s="748"/>
      <c r="X26" s="15">
        <f t="shared" si="12"/>
        <v>0</v>
      </c>
      <c r="Y26" s="188">
        <f t="shared" si="13"/>
        <v>18.85</v>
      </c>
      <c r="Z26" s="15">
        <f t="shared" si="14"/>
        <v>1845234</v>
      </c>
      <c r="AA26" s="15">
        <f t="shared" si="15"/>
        <v>0</v>
      </c>
      <c r="AB26" s="189">
        <f t="shared" si="2"/>
        <v>0</v>
      </c>
      <c r="AC26" s="190">
        <f t="shared" si="3"/>
        <v>20.14</v>
      </c>
      <c r="AD26" s="156">
        <f t="shared" si="4"/>
        <v>20.14</v>
      </c>
      <c r="AE26" s="97">
        <f t="shared" si="16"/>
        <v>1845234</v>
      </c>
      <c r="AF26" s="201">
        <v>0.02</v>
      </c>
      <c r="AG26" s="97">
        <v>2719379</v>
      </c>
      <c r="AH26" s="97">
        <v>0</v>
      </c>
      <c r="AI26" s="758">
        <f t="shared" si="17"/>
        <v>2719379</v>
      </c>
      <c r="AJ26" s="97">
        <f>'[6]Table 7 Local Revenue'!AK26</f>
        <v>136755650</v>
      </c>
      <c r="AK26" s="97">
        <f t="shared" si="20"/>
        <v>135968950</v>
      </c>
      <c r="AL26" s="201">
        <f t="shared" si="18"/>
        <v>-0.005752595962214359</v>
      </c>
      <c r="AM26" s="97">
        <f t="shared" si="19"/>
        <v>135968950</v>
      </c>
      <c r="AN26" s="158">
        <f t="shared" si="6"/>
        <v>0.02</v>
      </c>
      <c r="AO26" s="158">
        <f t="shared" si="7"/>
        <v>0</v>
      </c>
      <c r="AP26" s="97">
        <v>79617</v>
      </c>
      <c r="AQ26" s="97">
        <f t="shared" si="8"/>
        <v>4644230</v>
      </c>
      <c r="AR26" s="97">
        <f>ROUND(AQ26/'Table 3 Levels 1&amp;2'!C26,2)</f>
        <v>2212.59</v>
      </c>
    </row>
    <row r="27" spans="1:44" ht="12.75">
      <c r="A27" s="19">
        <v>20</v>
      </c>
      <c r="B27" s="90" t="s">
        <v>321</v>
      </c>
      <c r="C27" s="21">
        <f>'[7]Final'!C28</f>
        <v>175128950</v>
      </c>
      <c r="D27" s="21">
        <f>'[7]Final'!D28</f>
        <v>45573940</v>
      </c>
      <c r="E27" s="21">
        <f t="shared" si="9"/>
        <v>129555010</v>
      </c>
      <c r="F27" s="21">
        <f>'[6]Table 7 Local Revenue'!E27</f>
        <v>122611430</v>
      </c>
      <c r="G27" s="374">
        <f t="shared" si="10"/>
        <v>0.0566307725144385</v>
      </c>
      <c r="H27" s="459">
        <f t="shared" si="1"/>
        <v>129555010</v>
      </c>
      <c r="I27" s="795">
        <v>4.62</v>
      </c>
      <c r="J27" s="750">
        <v>598439</v>
      </c>
      <c r="K27" s="795">
        <v>10.35</v>
      </c>
      <c r="L27" s="750">
        <v>1340694</v>
      </c>
      <c r="M27" s="749">
        <v>2.08</v>
      </c>
      <c r="N27" s="749">
        <v>12.32</v>
      </c>
      <c r="O27" s="749">
        <v>3</v>
      </c>
      <c r="P27" s="750">
        <v>1793032</v>
      </c>
      <c r="Q27" s="98">
        <f t="shared" si="11"/>
        <v>3732165</v>
      </c>
      <c r="R27" s="749">
        <v>0</v>
      </c>
      <c r="S27" s="750">
        <v>0</v>
      </c>
      <c r="T27" s="749">
        <v>16.25</v>
      </c>
      <c r="U27" s="749">
        <v>36.5</v>
      </c>
      <c r="V27" s="749">
        <v>2</v>
      </c>
      <c r="W27" s="750">
        <v>806979</v>
      </c>
      <c r="X27" s="21">
        <f t="shared" si="12"/>
        <v>806979</v>
      </c>
      <c r="Y27" s="191">
        <f t="shared" si="13"/>
        <v>14.969999999999999</v>
      </c>
      <c r="Z27" s="21">
        <f t="shared" si="14"/>
        <v>1939133</v>
      </c>
      <c r="AA27" s="21">
        <f t="shared" si="15"/>
        <v>2600011</v>
      </c>
      <c r="AB27" s="192">
        <f t="shared" si="2"/>
        <v>6.23</v>
      </c>
      <c r="AC27" s="193">
        <f t="shared" si="3"/>
        <v>28.81</v>
      </c>
      <c r="AD27" s="157">
        <f t="shared" si="4"/>
        <v>35.04</v>
      </c>
      <c r="AE27" s="98">
        <f t="shared" si="16"/>
        <v>4539144</v>
      </c>
      <c r="AF27" s="202">
        <v>0.02</v>
      </c>
      <c r="AG27" s="98">
        <v>7350722</v>
      </c>
      <c r="AH27" s="98">
        <v>0</v>
      </c>
      <c r="AI27" s="759">
        <f t="shared" si="17"/>
        <v>7350722</v>
      </c>
      <c r="AJ27" s="98">
        <f>'[6]Table 7 Local Revenue'!AK27</f>
        <v>404184250</v>
      </c>
      <c r="AK27" s="98">
        <f t="shared" si="20"/>
        <v>367536100</v>
      </c>
      <c r="AL27" s="202">
        <f t="shared" si="18"/>
        <v>-0.09067189035693499</v>
      </c>
      <c r="AM27" s="98">
        <f t="shared" si="19"/>
        <v>367536100</v>
      </c>
      <c r="AN27" s="159">
        <f t="shared" si="6"/>
        <v>0.02</v>
      </c>
      <c r="AO27" s="159">
        <f t="shared" si="7"/>
        <v>0</v>
      </c>
      <c r="AP27" s="98">
        <v>241993</v>
      </c>
      <c r="AQ27" s="98">
        <f t="shared" si="8"/>
        <v>12131859</v>
      </c>
      <c r="AR27" s="98">
        <f>ROUND(AQ27/'Table 3 Levels 1&amp;2'!C27,2)</f>
        <v>2140.79</v>
      </c>
    </row>
    <row r="28" spans="1:44" ht="12.75">
      <c r="A28" s="13">
        <v>21</v>
      </c>
      <c r="B28" s="89" t="s">
        <v>322</v>
      </c>
      <c r="C28" s="15">
        <f>'[7]Final'!C29</f>
        <v>80503643</v>
      </c>
      <c r="D28" s="15">
        <f>'[7]Final'!D29</f>
        <v>26584292</v>
      </c>
      <c r="E28" s="15">
        <f t="shared" si="9"/>
        <v>53919351</v>
      </c>
      <c r="F28" s="15">
        <f>'[6]Table 7 Local Revenue'!E28</f>
        <v>52187875</v>
      </c>
      <c r="G28" s="17">
        <f t="shared" si="10"/>
        <v>0.03317774483057607</v>
      </c>
      <c r="H28" s="458">
        <f t="shared" si="1"/>
        <v>53919351</v>
      </c>
      <c r="I28" s="794">
        <v>4.41</v>
      </c>
      <c r="J28" s="748">
        <v>400227</v>
      </c>
      <c r="K28" s="794">
        <v>19.45</v>
      </c>
      <c r="L28" s="748">
        <v>837659</v>
      </c>
      <c r="M28" s="747">
        <v>19.45</v>
      </c>
      <c r="N28" s="747">
        <v>19.45</v>
      </c>
      <c r="O28" s="747">
        <v>0</v>
      </c>
      <c r="P28" s="748">
        <v>0</v>
      </c>
      <c r="Q28" s="97">
        <f t="shared" si="11"/>
        <v>1237886</v>
      </c>
      <c r="R28" s="747">
        <v>0</v>
      </c>
      <c r="S28" s="748">
        <v>0</v>
      </c>
      <c r="T28" s="747">
        <v>0</v>
      </c>
      <c r="U28" s="747">
        <v>0</v>
      </c>
      <c r="V28" s="747">
        <v>0</v>
      </c>
      <c r="W28" s="748">
        <v>0</v>
      </c>
      <c r="X28" s="15">
        <f t="shared" si="12"/>
        <v>0</v>
      </c>
      <c r="Y28" s="188">
        <f t="shared" si="13"/>
        <v>23.86</v>
      </c>
      <c r="Z28" s="15">
        <f t="shared" si="14"/>
        <v>1237886</v>
      </c>
      <c r="AA28" s="15">
        <f t="shared" si="15"/>
        <v>0</v>
      </c>
      <c r="AB28" s="189">
        <f t="shared" si="2"/>
        <v>0</v>
      </c>
      <c r="AC28" s="190">
        <f t="shared" si="3"/>
        <v>22.96</v>
      </c>
      <c r="AD28" s="156">
        <f t="shared" si="4"/>
        <v>22.96</v>
      </c>
      <c r="AE28" s="97">
        <f t="shared" si="16"/>
        <v>1237886</v>
      </c>
      <c r="AF28" s="201">
        <v>0.02</v>
      </c>
      <c r="AG28" s="97">
        <v>4259201</v>
      </c>
      <c r="AH28" s="97">
        <v>0</v>
      </c>
      <c r="AI28" s="758">
        <f t="shared" si="17"/>
        <v>4259201</v>
      </c>
      <c r="AJ28" s="97">
        <f>'[6]Table 7 Local Revenue'!AK28</f>
        <v>216400067</v>
      </c>
      <c r="AK28" s="97">
        <f t="shared" si="20"/>
        <v>212960050</v>
      </c>
      <c r="AL28" s="201">
        <f t="shared" si="18"/>
        <v>-0.015896561621674545</v>
      </c>
      <c r="AM28" s="97">
        <f t="shared" si="19"/>
        <v>212960050</v>
      </c>
      <c r="AN28" s="158">
        <f t="shared" si="6"/>
        <v>0.02</v>
      </c>
      <c r="AO28" s="158">
        <f t="shared" si="7"/>
        <v>0</v>
      </c>
      <c r="AP28" s="97">
        <v>77357</v>
      </c>
      <c r="AQ28" s="97">
        <f t="shared" si="8"/>
        <v>5574444</v>
      </c>
      <c r="AR28" s="97">
        <f>ROUND(AQ28/'Table 3 Levels 1&amp;2'!C28,2)</f>
        <v>1856.29</v>
      </c>
    </row>
    <row r="29" spans="1:44" ht="12.75">
      <c r="A29" s="13">
        <v>22</v>
      </c>
      <c r="B29" s="89" t="s">
        <v>323</v>
      </c>
      <c r="C29" s="15">
        <f>'[7]Final'!C30</f>
        <v>59508948</v>
      </c>
      <c r="D29" s="15">
        <f>'[7]Final'!D30</f>
        <v>25324056</v>
      </c>
      <c r="E29" s="15">
        <f t="shared" si="9"/>
        <v>34184892</v>
      </c>
      <c r="F29" s="15">
        <f>'[6]Table 7 Local Revenue'!E29</f>
        <v>33275873</v>
      </c>
      <c r="G29" s="17">
        <f t="shared" si="10"/>
        <v>0.027317660456271126</v>
      </c>
      <c r="H29" s="458">
        <f t="shared" si="1"/>
        <v>34184892</v>
      </c>
      <c r="I29" s="794">
        <v>5.93</v>
      </c>
      <c r="J29" s="748">
        <v>201873</v>
      </c>
      <c r="K29" s="794">
        <v>24.12</v>
      </c>
      <c r="L29" s="748">
        <v>651916</v>
      </c>
      <c r="M29" s="747">
        <v>2</v>
      </c>
      <c r="N29" s="747">
        <v>16.12</v>
      </c>
      <c r="O29" s="747">
        <v>8</v>
      </c>
      <c r="P29" s="748">
        <v>523986</v>
      </c>
      <c r="Q29" s="97">
        <f t="shared" si="11"/>
        <v>1377775</v>
      </c>
      <c r="R29" s="747">
        <v>0</v>
      </c>
      <c r="S29" s="748">
        <v>0</v>
      </c>
      <c r="T29" s="747">
        <v>16</v>
      </c>
      <c r="U29" s="747">
        <v>32</v>
      </c>
      <c r="V29" s="747">
        <v>3</v>
      </c>
      <c r="W29" s="748">
        <v>97699</v>
      </c>
      <c r="X29" s="15">
        <f t="shared" si="12"/>
        <v>97699</v>
      </c>
      <c r="Y29" s="188">
        <f t="shared" si="13"/>
        <v>30.05</v>
      </c>
      <c r="Z29" s="15">
        <f t="shared" si="14"/>
        <v>853789</v>
      </c>
      <c r="AA29" s="15">
        <f t="shared" si="15"/>
        <v>621685</v>
      </c>
      <c r="AB29" s="189">
        <f t="shared" si="2"/>
        <v>2.86</v>
      </c>
      <c r="AC29" s="190">
        <f t="shared" si="3"/>
        <v>40.3</v>
      </c>
      <c r="AD29" s="156">
        <f t="shared" si="4"/>
        <v>43.16</v>
      </c>
      <c r="AE29" s="97">
        <f t="shared" si="16"/>
        <v>1475474</v>
      </c>
      <c r="AF29" s="201">
        <v>0.02</v>
      </c>
      <c r="AG29" s="97">
        <v>1956127</v>
      </c>
      <c r="AH29" s="97">
        <v>0</v>
      </c>
      <c r="AI29" s="758">
        <f t="shared" si="17"/>
        <v>1956127</v>
      </c>
      <c r="AJ29" s="97">
        <f>'[6]Table 7 Local Revenue'!AK29</f>
        <v>97275150</v>
      </c>
      <c r="AK29" s="97">
        <f t="shared" si="20"/>
        <v>97806350</v>
      </c>
      <c r="AL29" s="201">
        <f t="shared" si="18"/>
        <v>0.005460798569830013</v>
      </c>
      <c r="AM29" s="97">
        <f t="shared" si="19"/>
        <v>97806350</v>
      </c>
      <c r="AN29" s="158">
        <f t="shared" si="6"/>
        <v>0.02</v>
      </c>
      <c r="AO29" s="158">
        <f t="shared" si="7"/>
        <v>0</v>
      </c>
      <c r="AP29" s="97">
        <v>577653</v>
      </c>
      <c r="AQ29" s="97">
        <f t="shared" si="8"/>
        <v>4009254</v>
      </c>
      <c r="AR29" s="97">
        <f>ROUND(AQ29/'Table 3 Levels 1&amp;2'!C29,2)</f>
        <v>1184.77</v>
      </c>
    </row>
    <row r="30" spans="1:44" ht="12.75">
      <c r="A30" s="13">
        <v>23</v>
      </c>
      <c r="B30" s="89" t="s">
        <v>324</v>
      </c>
      <c r="C30" s="15">
        <f>'[7]Final'!C31</f>
        <v>452587549</v>
      </c>
      <c r="D30" s="15">
        <f>'[7]Final'!D31</f>
        <v>98098992</v>
      </c>
      <c r="E30" s="15">
        <f t="shared" si="9"/>
        <v>354488557</v>
      </c>
      <c r="F30" s="15">
        <f>'[6]Table 7 Local Revenue'!E30</f>
        <v>319843587</v>
      </c>
      <c r="G30" s="577">
        <f t="shared" si="10"/>
        <v>0.10831847630573253</v>
      </c>
      <c r="H30" s="461">
        <f t="shared" si="1"/>
        <v>351827945.70000005</v>
      </c>
      <c r="I30" s="794">
        <v>5.28</v>
      </c>
      <c r="J30" s="748">
        <v>1877262</v>
      </c>
      <c r="K30" s="794">
        <v>7.36</v>
      </c>
      <c r="L30" s="748">
        <v>2616791</v>
      </c>
      <c r="M30" s="747">
        <v>0</v>
      </c>
      <c r="N30" s="747">
        <v>0</v>
      </c>
      <c r="O30" s="747">
        <v>0</v>
      </c>
      <c r="P30" s="748">
        <v>0</v>
      </c>
      <c r="Q30" s="97">
        <f t="shared" si="11"/>
        <v>4494053</v>
      </c>
      <c r="R30" s="747">
        <v>23.84</v>
      </c>
      <c r="S30" s="748">
        <v>8475745</v>
      </c>
      <c r="T30" s="747">
        <v>0</v>
      </c>
      <c r="U30" s="747">
        <v>0</v>
      </c>
      <c r="V30" s="747">
        <v>0</v>
      </c>
      <c r="W30" s="748">
        <v>0</v>
      </c>
      <c r="X30" s="15">
        <f t="shared" si="12"/>
        <v>8475745</v>
      </c>
      <c r="Y30" s="188">
        <f t="shared" si="13"/>
        <v>36.480000000000004</v>
      </c>
      <c r="Z30" s="15">
        <f t="shared" si="14"/>
        <v>12969798</v>
      </c>
      <c r="AA30" s="15">
        <f t="shared" si="15"/>
        <v>0</v>
      </c>
      <c r="AB30" s="189">
        <f t="shared" si="2"/>
        <v>23.91</v>
      </c>
      <c r="AC30" s="190">
        <f t="shared" si="3"/>
        <v>12.68</v>
      </c>
      <c r="AD30" s="156">
        <f t="shared" si="4"/>
        <v>36.59</v>
      </c>
      <c r="AE30" s="97">
        <f t="shared" si="16"/>
        <v>12969798</v>
      </c>
      <c r="AF30" s="201">
        <v>0.02</v>
      </c>
      <c r="AG30" s="97">
        <v>28580307</v>
      </c>
      <c r="AH30" s="97">
        <v>0</v>
      </c>
      <c r="AI30" s="758">
        <f t="shared" si="17"/>
        <v>28580307</v>
      </c>
      <c r="AJ30" s="97">
        <f>'[6]Table 7 Local Revenue'!AK30</f>
        <v>1330827250</v>
      </c>
      <c r="AK30" s="97">
        <f t="shared" si="20"/>
        <v>1429015350</v>
      </c>
      <c r="AL30" s="201">
        <f t="shared" si="18"/>
        <v>0.07377974864881975</v>
      </c>
      <c r="AM30" s="97">
        <f t="shared" si="19"/>
        <v>1429015350</v>
      </c>
      <c r="AN30" s="158">
        <f t="shared" si="6"/>
        <v>0.02</v>
      </c>
      <c r="AO30" s="158">
        <f t="shared" si="7"/>
        <v>0</v>
      </c>
      <c r="AP30" s="97">
        <v>664776</v>
      </c>
      <c r="AQ30" s="97">
        <f t="shared" si="8"/>
        <v>42214881</v>
      </c>
      <c r="AR30" s="97">
        <f>ROUND(AQ30/'Table 3 Levels 1&amp;2'!C30,2)</f>
        <v>3166.2</v>
      </c>
    </row>
    <row r="31" spans="1:44" ht="12.75">
      <c r="A31" s="13">
        <v>24</v>
      </c>
      <c r="B31" s="89" t="s">
        <v>325</v>
      </c>
      <c r="C31" s="15">
        <f>'[7]Final'!C32</f>
        <v>401222574</v>
      </c>
      <c r="D31" s="15">
        <f>'[7]Final'!D32</f>
        <v>41435933</v>
      </c>
      <c r="E31" s="15">
        <f t="shared" si="9"/>
        <v>359786641</v>
      </c>
      <c r="F31" s="15">
        <f>'[6]Table 7 Local Revenue'!E31</f>
        <v>336819731</v>
      </c>
      <c r="G31" s="17">
        <f t="shared" si="10"/>
        <v>0.06818754332417658</v>
      </c>
      <c r="H31" s="458">
        <f t="shared" si="1"/>
        <v>359786641</v>
      </c>
      <c r="I31" s="794">
        <v>3.93</v>
      </c>
      <c r="J31" s="748">
        <v>1352059</v>
      </c>
      <c r="K31" s="794">
        <v>24.34</v>
      </c>
      <c r="L31" s="748">
        <v>8371642</v>
      </c>
      <c r="M31" s="747">
        <v>0</v>
      </c>
      <c r="N31" s="747">
        <v>0</v>
      </c>
      <c r="O31" s="747">
        <v>0</v>
      </c>
      <c r="P31" s="748">
        <v>0</v>
      </c>
      <c r="Q31" s="97">
        <f t="shared" si="11"/>
        <v>9723701</v>
      </c>
      <c r="R31" s="747">
        <v>11</v>
      </c>
      <c r="S31" s="748">
        <v>3783404</v>
      </c>
      <c r="T31" s="747">
        <v>0</v>
      </c>
      <c r="U31" s="747">
        <v>0</v>
      </c>
      <c r="V31" s="747">
        <v>0</v>
      </c>
      <c r="W31" s="748">
        <v>0</v>
      </c>
      <c r="X31" s="15">
        <f t="shared" si="12"/>
        <v>3783404</v>
      </c>
      <c r="Y31" s="188">
        <f t="shared" si="13"/>
        <v>39.269999999999996</v>
      </c>
      <c r="Z31" s="15">
        <f t="shared" si="14"/>
        <v>13507105</v>
      </c>
      <c r="AA31" s="15">
        <f t="shared" si="15"/>
        <v>0</v>
      </c>
      <c r="AB31" s="189">
        <f t="shared" si="2"/>
        <v>10.52</v>
      </c>
      <c r="AC31" s="190">
        <f t="shared" si="3"/>
        <v>27.03</v>
      </c>
      <c r="AD31" s="156">
        <f t="shared" si="4"/>
        <v>37.54</v>
      </c>
      <c r="AE31" s="97">
        <f t="shared" si="16"/>
        <v>13507105</v>
      </c>
      <c r="AF31" s="201">
        <v>0.02</v>
      </c>
      <c r="AG31" s="97">
        <v>15702168</v>
      </c>
      <c r="AH31" s="97">
        <v>0</v>
      </c>
      <c r="AI31" s="758">
        <f t="shared" si="17"/>
        <v>15702168</v>
      </c>
      <c r="AJ31" s="97">
        <f>'[6]Table 7 Local Revenue'!AK31</f>
        <v>1008244750</v>
      </c>
      <c r="AK31" s="97">
        <f t="shared" si="20"/>
        <v>785108400</v>
      </c>
      <c r="AL31" s="201">
        <f t="shared" si="18"/>
        <v>-0.22131169044024282</v>
      </c>
      <c r="AM31" s="97">
        <f t="shared" si="19"/>
        <v>785108400</v>
      </c>
      <c r="AN31" s="158">
        <f t="shared" si="6"/>
        <v>0.02</v>
      </c>
      <c r="AO31" s="158">
        <f t="shared" si="7"/>
        <v>0</v>
      </c>
      <c r="AP31" s="97">
        <v>161448</v>
      </c>
      <c r="AQ31" s="97">
        <f t="shared" si="8"/>
        <v>29370721</v>
      </c>
      <c r="AR31" s="97">
        <f>ROUND(AQ31/'Table 3 Levels 1&amp;2'!C31,2)</f>
        <v>7096.09</v>
      </c>
    </row>
    <row r="32" spans="1:44" ht="12.75">
      <c r="A32" s="19">
        <v>25</v>
      </c>
      <c r="B32" s="90" t="s">
        <v>326</v>
      </c>
      <c r="C32" s="21">
        <f>'[7]Final'!C33</f>
        <v>169625030</v>
      </c>
      <c r="D32" s="21">
        <f>'[7]Final'!D33</f>
        <v>18269850</v>
      </c>
      <c r="E32" s="21">
        <f t="shared" si="9"/>
        <v>151355180</v>
      </c>
      <c r="F32" s="21">
        <f>'[6]Table 7 Local Revenue'!E32</f>
        <v>126775290</v>
      </c>
      <c r="G32" s="578">
        <f t="shared" si="10"/>
        <v>0.1938854961404545</v>
      </c>
      <c r="H32" s="462">
        <f t="shared" si="1"/>
        <v>139452819</v>
      </c>
      <c r="I32" s="795">
        <v>4.61</v>
      </c>
      <c r="J32" s="750">
        <v>668642</v>
      </c>
      <c r="K32" s="795">
        <v>21</v>
      </c>
      <c r="L32" s="750">
        <v>2876166</v>
      </c>
      <c r="M32" s="749">
        <v>0</v>
      </c>
      <c r="N32" s="749">
        <v>0</v>
      </c>
      <c r="O32" s="749">
        <v>0</v>
      </c>
      <c r="P32" s="750">
        <v>0</v>
      </c>
      <c r="Q32" s="98">
        <f t="shared" si="11"/>
        <v>3544808</v>
      </c>
      <c r="R32" s="749">
        <v>0</v>
      </c>
      <c r="S32" s="750">
        <v>603556</v>
      </c>
      <c r="T32" s="749">
        <v>1</v>
      </c>
      <c r="U32" s="749">
        <v>10</v>
      </c>
      <c r="V32" s="749">
        <v>3</v>
      </c>
      <c r="W32" s="750">
        <v>0</v>
      </c>
      <c r="X32" s="21">
        <f t="shared" si="12"/>
        <v>603556</v>
      </c>
      <c r="Y32" s="191">
        <f t="shared" si="13"/>
        <v>25.61</v>
      </c>
      <c r="Z32" s="21">
        <f t="shared" si="14"/>
        <v>4148364</v>
      </c>
      <c r="AA32" s="21">
        <f t="shared" si="15"/>
        <v>0</v>
      </c>
      <c r="AB32" s="192">
        <f t="shared" si="2"/>
        <v>3.99</v>
      </c>
      <c r="AC32" s="193">
        <f t="shared" si="3"/>
        <v>23.42</v>
      </c>
      <c r="AD32" s="157">
        <f t="shared" si="4"/>
        <v>27.41</v>
      </c>
      <c r="AE32" s="98">
        <f t="shared" si="16"/>
        <v>4148364</v>
      </c>
      <c r="AF32" s="202">
        <v>0.03</v>
      </c>
      <c r="AG32" s="98">
        <v>7852340</v>
      </c>
      <c r="AH32" s="98">
        <v>0</v>
      </c>
      <c r="AI32" s="759">
        <f t="shared" si="17"/>
        <v>7852340</v>
      </c>
      <c r="AJ32" s="98">
        <f>'[6]Table 7 Local Revenue'!AK32</f>
        <v>314026900</v>
      </c>
      <c r="AK32" s="98">
        <f t="shared" si="20"/>
        <v>261744667</v>
      </c>
      <c r="AL32" s="202">
        <f t="shared" si="18"/>
        <v>-0.16648966378358032</v>
      </c>
      <c r="AM32" s="98">
        <f t="shared" si="19"/>
        <v>261744667</v>
      </c>
      <c r="AN32" s="159">
        <f t="shared" si="6"/>
        <v>0.029999999961794827</v>
      </c>
      <c r="AO32" s="159">
        <f t="shared" si="7"/>
        <v>0</v>
      </c>
      <c r="AP32" s="98">
        <v>92913</v>
      </c>
      <c r="AQ32" s="98">
        <f t="shared" si="8"/>
        <v>12093617</v>
      </c>
      <c r="AR32" s="98">
        <f>ROUND(AQ32/'Table 3 Levels 1&amp;2'!C32,2)</f>
        <v>5517.16</v>
      </c>
    </row>
    <row r="33" spans="1:44" s="95" customFormat="1" ht="12.75">
      <c r="A33" s="126">
        <v>26</v>
      </c>
      <c r="B33" s="204" t="s">
        <v>327</v>
      </c>
      <c r="C33" s="97">
        <f>'[7]Final'!C34</f>
        <v>3340030336</v>
      </c>
      <c r="D33" s="97">
        <f>'[7]Final'!D34</f>
        <v>739284610</v>
      </c>
      <c r="E33" s="15">
        <f t="shared" si="9"/>
        <v>2600745726</v>
      </c>
      <c r="F33" s="97">
        <f>'[6]Table 7 Local Revenue'!E33</f>
        <v>2329255258</v>
      </c>
      <c r="G33" s="577">
        <f t="shared" si="10"/>
        <v>0.11655676940839603</v>
      </c>
      <c r="H33" s="461">
        <f t="shared" si="1"/>
        <v>2562180783.8</v>
      </c>
      <c r="I33" s="794">
        <v>2.91</v>
      </c>
      <c r="J33" s="748">
        <v>7359390</v>
      </c>
      <c r="K33" s="794">
        <v>20</v>
      </c>
      <c r="L33" s="748">
        <v>50479150</v>
      </c>
      <c r="M33" s="747">
        <v>0</v>
      </c>
      <c r="N33" s="747">
        <v>0</v>
      </c>
      <c r="O33" s="747">
        <v>0</v>
      </c>
      <c r="P33" s="748">
        <v>0</v>
      </c>
      <c r="Q33" s="97">
        <f t="shared" si="11"/>
        <v>57838540</v>
      </c>
      <c r="R33" s="747">
        <v>0</v>
      </c>
      <c r="S33" s="748">
        <v>0</v>
      </c>
      <c r="T33" s="747">
        <v>0</v>
      </c>
      <c r="U33" s="747">
        <v>0</v>
      </c>
      <c r="V33" s="747">
        <v>0</v>
      </c>
      <c r="W33" s="748">
        <v>0</v>
      </c>
      <c r="X33" s="97">
        <f t="shared" si="12"/>
        <v>0</v>
      </c>
      <c r="Y33" s="205">
        <f t="shared" si="13"/>
        <v>22.91</v>
      </c>
      <c r="Z33" s="97">
        <f t="shared" si="14"/>
        <v>57838540</v>
      </c>
      <c r="AA33" s="97">
        <f t="shared" si="15"/>
        <v>0</v>
      </c>
      <c r="AB33" s="206">
        <f t="shared" si="2"/>
        <v>0</v>
      </c>
      <c r="AC33" s="207">
        <f t="shared" si="3"/>
        <v>22.24</v>
      </c>
      <c r="AD33" s="156">
        <f t="shared" si="4"/>
        <v>22.24</v>
      </c>
      <c r="AE33" s="97">
        <f t="shared" si="16"/>
        <v>57838540</v>
      </c>
      <c r="AF33" s="201">
        <v>0.02</v>
      </c>
      <c r="AG33" s="97">
        <v>186384740</v>
      </c>
      <c r="AH33" s="97">
        <v>0</v>
      </c>
      <c r="AI33" s="758">
        <f t="shared" si="17"/>
        <v>186384740</v>
      </c>
      <c r="AJ33" s="97">
        <f>'[6]Table 7 Local Revenue'!AK33</f>
        <v>9787881400</v>
      </c>
      <c r="AK33" s="97">
        <f t="shared" si="20"/>
        <v>9319237000</v>
      </c>
      <c r="AL33" s="201">
        <f t="shared" si="18"/>
        <v>-0.04788006524067609</v>
      </c>
      <c r="AM33" s="97">
        <f t="shared" si="19"/>
        <v>9319237000</v>
      </c>
      <c r="AN33" s="158">
        <f t="shared" si="6"/>
        <v>0.02</v>
      </c>
      <c r="AO33" s="158">
        <f t="shared" si="7"/>
        <v>0</v>
      </c>
      <c r="AP33" s="97">
        <v>2270540</v>
      </c>
      <c r="AQ33" s="97">
        <f t="shared" si="8"/>
        <v>246493820</v>
      </c>
      <c r="AR33" s="97">
        <f>ROUND(AQ33/'Table 3 Levels 1&amp;2'!C33,2)</f>
        <v>5898.39</v>
      </c>
    </row>
    <row r="34" spans="1:44" ht="12.75">
      <c r="A34" s="13">
        <v>27</v>
      </c>
      <c r="B34" s="89" t="s">
        <v>328</v>
      </c>
      <c r="C34" s="15">
        <f>'[7]Final'!C35</f>
        <v>173973580</v>
      </c>
      <c r="D34" s="15">
        <f>'[7]Final'!D35</f>
        <v>42063770</v>
      </c>
      <c r="E34" s="15">
        <f t="shared" si="9"/>
        <v>131909810</v>
      </c>
      <c r="F34" s="15">
        <f>'[6]Table 7 Local Revenue'!E34</f>
        <v>125354074</v>
      </c>
      <c r="G34" s="17">
        <f t="shared" si="10"/>
        <v>0.05229774981226378</v>
      </c>
      <c r="H34" s="458">
        <f t="shared" si="1"/>
        <v>131909810</v>
      </c>
      <c r="I34" s="794">
        <v>6.48</v>
      </c>
      <c r="J34" s="748">
        <v>829766</v>
      </c>
      <c r="K34" s="794">
        <v>10.77</v>
      </c>
      <c r="L34" s="748">
        <v>1379102</v>
      </c>
      <c r="M34" s="747">
        <v>4.02</v>
      </c>
      <c r="N34" s="747">
        <v>22.55</v>
      </c>
      <c r="O34" s="747">
        <v>7</v>
      </c>
      <c r="P34" s="748">
        <v>1594210</v>
      </c>
      <c r="Q34" s="97">
        <f t="shared" si="11"/>
        <v>3803078</v>
      </c>
      <c r="R34" s="747">
        <v>0</v>
      </c>
      <c r="S34" s="748">
        <v>0</v>
      </c>
      <c r="T34" s="747">
        <v>7.25</v>
      </c>
      <c r="U34" s="747">
        <v>22.5</v>
      </c>
      <c r="V34" s="747">
        <v>7</v>
      </c>
      <c r="W34" s="748">
        <v>2224198</v>
      </c>
      <c r="X34" s="15">
        <f t="shared" si="12"/>
        <v>2224198</v>
      </c>
      <c r="Y34" s="188">
        <f t="shared" si="13"/>
        <v>17.25</v>
      </c>
      <c r="Z34" s="15">
        <f t="shared" si="14"/>
        <v>2208868</v>
      </c>
      <c r="AA34" s="15">
        <f t="shared" si="15"/>
        <v>3818408</v>
      </c>
      <c r="AB34" s="189">
        <f t="shared" si="2"/>
        <v>16.86</v>
      </c>
      <c r="AC34" s="190">
        <f t="shared" si="3"/>
        <v>28.83</v>
      </c>
      <c r="AD34" s="156">
        <f t="shared" si="4"/>
        <v>45.69</v>
      </c>
      <c r="AE34" s="97">
        <f t="shared" si="16"/>
        <v>6027276</v>
      </c>
      <c r="AF34" s="201">
        <v>0.025</v>
      </c>
      <c r="AG34" s="97">
        <v>9051174</v>
      </c>
      <c r="AH34" s="97">
        <v>1409202</v>
      </c>
      <c r="AI34" s="758">
        <f t="shared" si="17"/>
        <v>10460376</v>
      </c>
      <c r="AJ34" s="97">
        <f>'[6]Table 7 Local Revenue'!AK34</f>
        <v>385400200</v>
      </c>
      <c r="AK34" s="97">
        <f t="shared" si="20"/>
        <v>418415040</v>
      </c>
      <c r="AL34" s="201">
        <f t="shared" si="18"/>
        <v>0.08566378533275282</v>
      </c>
      <c r="AM34" s="97">
        <f t="shared" si="19"/>
        <v>418415040</v>
      </c>
      <c r="AN34" s="158">
        <f t="shared" si="6"/>
        <v>0.021632047452213955</v>
      </c>
      <c r="AO34" s="158">
        <f t="shared" si="7"/>
        <v>0.0033679525477860453</v>
      </c>
      <c r="AP34" s="97">
        <v>317047</v>
      </c>
      <c r="AQ34" s="97">
        <f t="shared" si="8"/>
        <v>16804699</v>
      </c>
      <c r="AR34" s="97">
        <f>ROUND(AQ34/'Table 3 Levels 1&amp;2'!C34,2)</f>
        <v>3013.76</v>
      </c>
    </row>
    <row r="35" spans="1:44" ht="12.75">
      <c r="A35" s="13">
        <v>28</v>
      </c>
      <c r="B35" s="89" t="s">
        <v>329</v>
      </c>
      <c r="C35" s="15">
        <f>'[7]Final'!C36</f>
        <v>1470636507</v>
      </c>
      <c r="D35" s="15">
        <f>'[7]Final'!D36</f>
        <v>311232977</v>
      </c>
      <c r="E35" s="15">
        <f t="shared" si="9"/>
        <v>1159403530</v>
      </c>
      <c r="F35" s="15">
        <f>'[6]Table 7 Local Revenue'!E35</f>
        <v>1075087747</v>
      </c>
      <c r="G35" s="17">
        <f t="shared" si="10"/>
        <v>0.07842688490802788</v>
      </c>
      <c r="H35" s="458">
        <f t="shared" si="1"/>
        <v>1159403530</v>
      </c>
      <c r="I35" s="794">
        <v>4.59</v>
      </c>
      <c r="J35" s="748">
        <v>5162385</v>
      </c>
      <c r="K35" s="794">
        <v>28.97</v>
      </c>
      <c r="L35" s="748">
        <v>32573195</v>
      </c>
      <c r="M35" s="747">
        <v>0</v>
      </c>
      <c r="N35" s="747">
        <v>0</v>
      </c>
      <c r="O35" s="747">
        <v>0</v>
      </c>
      <c r="P35" s="748">
        <v>0</v>
      </c>
      <c r="Q35" s="97">
        <f t="shared" si="11"/>
        <v>37735580</v>
      </c>
      <c r="R35" s="747">
        <v>0.19</v>
      </c>
      <c r="S35" s="748">
        <v>222867</v>
      </c>
      <c r="T35" s="747">
        <v>0</v>
      </c>
      <c r="U35" s="747">
        <v>0</v>
      </c>
      <c r="V35" s="747">
        <v>0</v>
      </c>
      <c r="W35" s="748">
        <v>0</v>
      </c>
      <c r="X35" s="15">
        <f t="shared" si="12"/>
        <v>222867</v>
      </c>
      <c r="Y35" s="188">
        <f t="shared" si="13"/>
        <v>33.75</v>
      </c>
      <c r="Z35" s="15">
        <f t="shared" si="14"/>
        <v>37958447</v>
      </c>
      <c r="AA35" s="15">
        <f t="shared" si="15"/>
        <v>0</v>
      </c>
      <c r="AB35" s="189">
        <f t="shared" si="2"/>
        <v>0.19</v>
      </c>
      <c r="AC35" s="190">
        <f t="shared" si="3"/>
        <v>32.55</v>
      </c>
      <c r="AD35" s="156">
        <f t="shared" si="4"/>
        <v>32.74</v>
      </c>
      <c r="AE35" s="97">
        <f t="shared" si="16"/>
        <v>37958447</v>
      </c>
      <c r="AF35" s="201">
        <v>0.02</v>
      </c>
      <c r="AG35" s="97">
        <v>92133105</v>
      </c>
      <c r="AH35" s="97">
        <v>9436980</v>
      </c>
      <c r="AI35" s="758">
        <f t="shared" si="17"/>
        <v>101570085</v>
      </c>
      <c r="AJ35" s="97">
        <f>'[6]Table 7 Local Revenue'!AK35</f>
        <v>4800691050</v>
      </c>
      <c r="AK35" s="97">
        <f t="shared" si="20"/>
        <v>5078504250</v>
      </c>
      <c r="AL35" s="201">
        <f t="shared" si="18"/>
        <v>0.057869418612139185</v>
      </c>
      <c r="AM35" s="97">
        <f t="shared" si="19"/>
        <v>5078504250</v>
      </c>
      <c r="AN35" s="158">
        <f t="shared" si="6"/>
        <v>0.01814177963915261</v>
      </c>
      <c r="AO35" s="158">
        <f t="shared" si="7"/>
        <v>0.0018582203608473893</v>
      </c>
      <c r="AP35" s="97">
        <v>2231352</v>
      </c>
      <c r="AQ35" s="97">
        <f t="shared" si="8"/>
        <v>141759884</v>
      </c>
      <c r="AR35" s="97">
        <f>ROUND(AQ35/'Table 3 Levels 1&amp;2'!C35,2)</f>
        <v>4931.81</v>
      </c>
    </row>
    <row r="36" spans="1:44" ht="12.75">
      <c r="A36" s="13">
        <v>29</v>
      </c>
      <c r="B36" s="89" t="s">
        <v>330</v>
      </c>
      <c r="C36" s="15">
        <f>'[7]Final'!C37</f>
        <v>658430990</v>
      </c>
      <c r="D36" s="15">
        <f>'[7]Final'!D37</f>
        <v>149912982</v>
      </c>
      <c r="E36" s="15">
        <f t="shared" si="9"/>
        <v>508518008</v>
      </c>
      <c r="F36" s="15">
        <f>'[6]Table 7 Local Revenue'!E36</f>
        <v>460707588</v>
      </c>
      <c r="G36" s="577">
        <f t="shared" si="10"/>
        <v>0.10377606370138623</v>
      </c>
      <c r="H36" s="461">
        <f t="shared" si="1"/>
        <v>506778346.8</v>
      </c>
      <c r="I36" s="794">
        <v>3.63</v>
      </c>
      <c r="J36" s="748">
        <v>1820654</v>
      </c>
      <c r="K36" s="794">
        <v>22.47</v>
      </c>
      <c r="L36" s="748">
        <v>11227408</v>
      </c>
      <c r="M36" s="747">
        <v>0</v>
      </c>
      <c r="N36" s="747">
        <v>0</v>
      </c>
      <c r="O36" s="747">
        <v>0</v>
      </c>
      <c r="P36" s="748">
        <v>0</v>
      </c>
      <c r="Q36" s="97">
        <f t="shared" si="11"/>
        <v>13048062</v>
      </c>
      <c r="R36" s="747">
        <v>17.2</v>
      </c>
      <c r="S36" s="748">
        <v>8594189</v>
      </c>
      <c r="T36" s="747">
        <v>0</v>
      </c>
      <c r="U36" s="747">
        <v>0</v>
      </c>
      <c r="V36" s="747">
        <v>0</v>
      </c>
      <c r="W36" s="748">
        <v>0</v>
      </c>
      <c r="X36" s="15">
        <f t="shared" si="12"/>
        <v>8594189</v>
      </c>
      <c r="Y36" s="188">
        <f t="shared" si="13"/>
        <v>43.3</v>
      </c>
      <c r="Z36" s="15">
        <f t="shared" si="14"/>
        <v>21642251</v>
      </c>
      <c r="AA36" s="15">
        <f t="shared" si="15"/>
        <v>0</v>
      </c>
      <c r="AB36" s="189">
        <f t="shared" si="2"/>
        <v>16.9</v>
      </c>
      <c r="AC36" s="190">
        <f t="shared" si="3"/>
        <v>25.66</v>
      </c>
      <c r="AD36" s="156">
        <f t="shared" si="4"/>
        <v>42.56</v>
      </c>
      <c r="AE36" s="97">
        <f t="shared" si="16"/>
        <v>21642251</v>
      </c>
      <c r="AF36" s="201">
        <v>0.02</v>
      </c>
      <c r="AG36" s="97">
        <v>28939433</v>
      </c>
      <c r="AH36" s="97">
        <v>0</v>
      </c>
      <c r="AI36" s="758">
        <f t="shared" si="17"/>
        <v>28939433</v>
      </c>
      <c r="AJ36" s="97">
        <f>'[6]Table 7 Local Revenue'!AK36</f>
        <v>1409938350</v>
      </c>
      <c r="AK36" s="97">
        <f t="shared" si="20"/>
        <v>1446971650</v>
      </c>
      <c r="AL36" s="201">
        <f t="shared" si="18"/>
        <v>0.026265900207622553</v>
      </c>
      <c r="AM36" s="97">
        <f t="shared" si="19"/>
        <v>1446971650</v>
      </c>
      <c r="AN36" s="158">
        <f t="shared" si="6"/>
        <v>0.02</v>
      </c>
      <c r="AO36" s="158">
        <f t="shared" si="7"/>
        <v>0</v>
      </c>
      <c r="AP36" s="97">
        <v>1221290</v>
      </c>
      <c r="AQ36" s="97">
        <f t="shared" si="8"/>
        <v>51802974</v>
      </c>
      <c r="AR36" s="97">
        <f>ROUND(AQ36/'Table 3 Levels 1&amp;2'!C36,2)</f>
        <v>3782.9</v>
      </c>
    </row>
    <row r="37" spans="1:44" ht="12.75">
      <c r="A37" s="19">
        <v>30</v>
      </c>
      <c r="B37" s="90" t="s">
        <v>331</v>
      </c>
      <c r="C37" s="21">
        <f>'[7]Final'!C38</f>
        <v>63840593</v>
      </c>
      <c r="D37" s="21">
        <f>'[7]Final'!D38</f>
        <v>18136905</v>
      </c>
      <c r="E37" s="21">
        <f t="shared" si="9"/>
        <v>45703688</v>
      </c>
      <c r="F37" s="21">
        <f>'[6]Table 7 Local Revenue'!E37</f>
        <v>42018130</v>
      </c>
      <c r="G37" s="374">
        <f t="shared" si="10"/>
        <v>0.08771351795046567</v>
      </c>
      <c r="H37" s="459">
        <f t="shared" si="1"/>
        <v>45703688</v>
      </c>
      <c r="I37" s="795">
        <v>5.38</v>
      </c>
      <c r="J37" s="750">
        <v>238274</v>
      </c>
      <c r="K37" s="795">
        <v>46</v>
      </c>
      <c r="L37" s="750">
        <v>2026033</v>
      </c>
      <c r="M37" s="749">
        <v>0</v>
      </c>
      <c r="N37" s="749">
        <v>0</v>
      </c>
      <c r="O37" s="749">
        <v>0</v>
      </c>
      <c r="P37" s="750">
        <v>0</v>
      </c>
      <c r="Q37" s="98">
        <f t="shared" si="11"/>
        <v>2264307</v>
      </c>
      <c r="R37" s="749">
        <v>1.43</v>
      </c>
      <c r="S37" s="750">
        <v>74590</v>
      </c>
      <c r="T37" s="749">
        <v>0</v>
      </c>
      <c r="U37" s="749">
        <v>0</v>
      </c>
      <c r="V37" s="749">
        <v>0</v>
      </c>
      <c r="W37" s="750">
        <v>0</v>
      </c>
      <c r="X37" s="21">
        <f t="shared" si="12"/>
        <v>74590</v>
      </c>
      <c r="Y37" s="191">
        <f t="shared" si="13"/>
        <v>52.81</v>
      </c>
      <c r="Z37" s="21">
        <f t="shared" si="14"/>
        <v>2338897</v>
      </c>
      <c r="AA37" s="21">
        <f t="shared" si="15"/>
        <v>0</v>
      </c>
      <c r="AB37" s="192">
        <f t="shared" si="2"/>
        <v>1.63</v>
      </c>
      <c r="AC37" s="193">
        <f t="shared" si="3"/>
        <v>49.54</v>
      </c>
      <c r="AD37" s="157">
        <f t="shared" si="4"/>
        <v>51.18</v>
      </c>
      <c r="AE37" s="98">
        <f t="shared" si="16"/>
        <v>2338897</v>
      </c>
      <c r="AF37" s="202">
        <v>0.02</v>
      </c>
      <c r="AG37" s="98">
        <v>4087727</v>
      </c>
      <c r="AH37" s="98">
        <v>0</v>
      </c>
      <c r="AI37" s="759">
        <f t="shared" si="17"/>
        <v>4087727</v>
      </c>
      <c r="AJ37" s="98">
        <f>'[6]Table 7 Local Revenue'!AK37</f>
        <v>187956800</v>
      </c>
      <c r="AK37" s="98">
        <f t="shared" si="20"/>
        <v>204386350</v>
      </c>
      <c r="AL37" s="202">
        <f t="shared" si="18"/>
        <v>0.08741130940726806</v>
      </c>
      <c r="AM37" s="98">
        <f t="shared" si="19"/>
        <v>204386350</v>
      </c>
      <c r="AN37" s="159">
        <f t="shared" si="6"/>
        <v>0.02</v>
      </c>
      <c r="AO37" s="159">
        <f t="shared" si="7"/>
        <v>0</v>
      </c>
      <c r="AP37" s="98">
        <v>87042</v>
      </c>
      <c r="AQ37" s="98">
        <f t="shared" si="8"/>
        <v>6513666</v>
      </c>
      <c r="AR37" s="98">
        <f>ROUND(AQ37/'Table 3 Levels 1&amp;2'!C37,2)</f>
        <v>2676.12</v>
      </c>
    </row>
    <row r="38" spans="1:44" ht="12.75">
      <c r="A38" s="13">
        <v>31</v>
      </c>
      <c r="B38" s="89" t="s">
        <v>332</v>
      </c>
      <c r="C38" s="15">
        <f>'[7]Final'!C39</f>
        <v>304750986</v>
      </c>
      <c r="D38" s="15">
        <f>'[7]Final'!D39</f>
        <v>52524903</v>
      </c>
      <c r="E38" s="15">
        <f t="shared" si="9"/>
        <v>252226083</v>
      </c>
      <c r="F38" s="15">
        <f>'[6]Table 7 Local Revenue'!E38</f>
        <v>222823263</v>
      </c>
      <c r="G38" s="577">
        <f t="shared" si="10"/>
        <v>0.1319557913484105</v>
      </c>
      <c r="H38" s="461">
        <f t="shared" si="1"/>
        <v>245105589.3</v>
      </c>
      <c r="I38" s="794">
        <v>4.79</v>
      </c>
      <c r="J38" s="748">
        <v>1319478</v>
      </c>
      <c r="K38" s="794">
        <v>31.1</v>
      </c>
      <c r="L38" s="748">
        <v>8566556</v>
      </c>
      <c r="M38" s="747">
        <v>4.94</v>
      </c>
      <c r="N38" s="747">
        <v>11.61</v>
      </c>
      <c r="O38" s="747">
        <v>3</v>
      </c>
      <c r="P38" s="748">
        <v>788794</v>
      </c>
      <c r="Q38" s="97">
        <f t="shared" si="11"/>
        <v>10674828</v>
      </c>
      <c r="R38" s="747">
        <v>0</v>
      </c>
      <c r="S38" s="748">
        <v>0</v>
      </c>
      <c r="T38" s="747">
        <v>16.95</v>
      </c>
      <c r="U38" s="747">
        <v>22.5</v>
      </c>
      <c r="V38" s="747">
        <v>3</v>
      </c>
      <c r="W38" s="748">
        <v>3860540</v>
      </c>
      <c r="X38" s="15">
        <f t="shared" si="12"/>
        <v>3860540</v>
      </c>
      <c r="Y38" s="188">
        <f t="shared" si="13"/>
        <v>35.89</v>
      </c>
      <c r="Z38" s="15">
        <f t="shared" si="14"/>
        <v>9886034</v>
      </c>
      <c r="AA38" s="15">
        <f t="shared" si="15"/>
        <v>4649334</v>
      </c>
      <c r="AB38" s="189">
        <f t="shared" si="2"/>
        <v>15.31</v>
      </c>
      <c r="AC38" s="190">
        <f t="shared" si="3"/>
        <v>42.32</v>
      </c>
      <c r="AD38" s="156">
        <f t="shared" si="4"/>
        <v>57.63</v>
      </c>
      <c r="AE38" s="97">
        <f t="shared" si="16"/>
        <v>14535368</v>
      </c>
      <c r="AF38" s="201">
        <v>0.02</v>
      </c>
      <c r="AG38" s="97">
        <v>17172180</v>
      </c>
      <c r="AH38" s="97">
        <v>0</v>
      </c>
      <c r="AI38" s="758">
        <f t="shared" si="17"/>
        <v>17172180</v>
      </c>
      <c r="AJ38" s="97">
        <f>'[6]Table 7 Local Revenue'!AK38</f>
        <v>787945100</v>
      </c>
      <c r="AK38" s="97">
        <f t="shared" si="20"/>
        <v>858609000</v>
      </c>
      <c r="AL38" s="201">
        <f t="shared" si="18"/>
        <v>0.08968124809710727</v>
      </c>
      <c r="AM38" s="97">
        <f t="shared" si="19"/>
        <v>858609000</v>
      </c>
      <c r="AN38" s="158">
        <f t="shared" si="6"/>
        <v>0.02</v>
      </c>
      <c r="AO38" s="158">
        <f t="shared" si="7"/>
        <v>0</v>
      </c>
      <c r="AP38" s="97">
        <v>298688</v>
      </c>
      <c r="AQ38" s="97">
        <f t="shared" si="8"/>
        <v>32006236</v>
      </c>
      <c r="AR38" s="97">
        <f>ROUND(AQ38/'Table 3 Levels 1&amp;2'!C38,2)</f>
        <v>4891.68</v>
      </c>
    </row>
    <row r="39" spans="1:44" ht="12.75">
      <c r="A39" s="13">
        <v>32</v>
      </c>
      <c r="B39" s="89" t="s">
        <v>333</v>
      </c>
      <c r="C39" s="15">
        <f>'[7]Final'!C40</f>
        <v>463254380</v>
      </c>
      <c r="D39" s="15">
        <f>'[7]Final'!D40</f>
        <v>189618010</v>
      </c>
      <c r="E39" s="15">
        <f t="shared" si="9"/>
        <v>273636370</v>
      </c>
      <c r="F39" s="15">
        <f>'[6]Table 7 Local Revenue'!E39</f>
        <v>244583490</v>
      </c>
      <c r="G39" s="577">
        <f t="shared" si="10"/>
        <v>0.11878512323133504</v>
      </c>
      <c r="H39" s="461">
        <f t="shared" si="1"/>
        <v>269041839</v>
      </c>
      <c r="I39" s="794">
        <v>3.29</v>
      </c>
      <c r="J39" s="748">
        <v>874627</v>
      </c>
      <c r="K39" s="794">
        <v>19.18</v>
      </c>
      <c r="L39" s="748">
        <v>5098873</v>
      </c>
      <c r="M39" s="747">
        <v>0</v>
      </c>
      <c r="N39" s="747">
        <v>0</v>
      </c>
      <c r="O39" s="747">
        <v>0</v>
      </c>
      <c r="P39" s="748">
        <v>0</v>
      </c>
      <c r="Q39" s="97">
        <f t="shared" si="11"/>
        <v>5973500</v>
      </c>
      <c r="R39" s="747">
        <v>0</v>
      </c>
      <c r="S39" s="748">
        <v>0</v>
      </c>
      <c r="T39" s="747">
        <v>15.98</v>
      </c>
      <c r="U39" s="747">
        <v>62.9</v>
      </c>
      <c r="V39" s="747">
        <v>10</v>
      </c>
      <c r="W39" s="748">
        <v>6453186</v>
      </c>
      <c r="X39" s="15">
        <f t="shared" si="12"/>
        <v>6453186</v>
      </c>
      <c r="Y39" s="188">
        <f t="shared" si="13"/>
        <v>22.47</v>
      </c>
      <c r="Z39" s="15">
        <f t="shared" si="14"/>
        <v>5973500</v>
      </c>
      <c r="AA39" s="15">
        <f t="shared" si="15"/>
        <v>6453186</v>
      </c>
      <c r="AB39" s="189">
        <f t="shared" si="2"/>
        <v>23.58</v>
      </c>
      <c r="AC39" s="190">
        <f t="shared" si="3"/>
        <v>21.83</v>
      </c>
      <c r="AD39" s="156">
        <f t="shared" si="4"/>
        <v>45.41</v>
      </c>
      <c r="AE39" s="97">
        <f t="shared" si="16"/>
        <v>12426686</v>
      </c>
      <c r="AF39" s="201">
        <v>0.025</v>
      </c>
      <c r="AG39" s="97">
        <v>31937059</v>
      </c>
      <c r="AH39" s="97">
        <v>926709</v>
      </c>
      <c r="AI39" s="787">
        <f>AG39+AH39+402433.89</f>
        <v>33266201.89</v>
      </c>
      <c r="AJ39" s="97">
        <f>'[6]Table 7 Local Revenue'!AK39</f>
        <v>1246007800</v>
      </c>
      <c r="AK39" s="97">
        <f t="shared" si="20"/>
        <v>1330648076</v>
      </c>
      <c r="AL39" s="201">
        <f t="shared" si="18"/>
        <v>0.0679291702668314</v>
      </c>
      <c r="AM39" s="97">
        <f t="shared" si="19"/>
        <v>1330648076</v>
      </c>
      <c r="AN39" s="158">
        <f t="shared" si="6"/>
        <v>0.02400113116009195</v>
      </c>
      <c r="AO39" s="158">
        <f t="shared" si="7"/>
        <v>0.0006964343290419337</v>
      </c>
      <c r="AP39" s="97">
        <v>869150</v>
      </c>
      <c r="AQ39" s="97">
        <f t="shared" si="8"/>
        <v>46562037.89</v>
      </c>
      <c r="AR39" s="97">
        <f>ROUND(AQ39/'Table 3 Levels 1&amp;2'!C39,2)</f>
        <v>1974.81</v>
      </c>
    </row>
    <row r="40" spans="1:44" ht="12.75">
      <c r="A40" s="13">
        <v>33</v>
      </c>
      <c r="B40" s="89" t="s">
        <v>334</v>
      </c>
      <c r="C40" s="15">
        <f>'[7]Final'!C41</f>
        <v>56062528</v>
      </c>
      <c r="D40" s="15">
        <f>'[7]Final'!D41</f>
        <v>10211062</v>
      </c>
      <c r="E40" s="15">
        <f t="shared" si="9"/>
        <v>45851466</v>
      </c>
      <c r="F40" s="15">
        <f>'[6]Table 7 Local Revenue'!E40</f>
        <v>45221620</v>
      </c>
      <c r="G40" s="17">
        <f t="shared" si="10"/>
        <v>0.013927984004111308</v>
      </c>
      <c r="H40" s="458">
        <f aca="true" t="shared" si="21" ref="H40:H76">IF((E40-F40)/F40&gt;$H$5,F40*(1+$H$5),E40)</f>
        <v>45851466</v>
      </c>
      <c r="I40" s="794">
        <v>4.76</v>
      </c>
      <c r="J40" s="748">
        <v>205807</v>
      </c>
      <c r="K40" s="794">
        <v>5.27</v>
      </c>
      <c r="L40" s="748">
        <v>255040</v>
      </c>
      <c r="M40" s="747">
        <v>0</v>
      </c>
      <c r="N40" s="747">
        <v>0</v>
      </c>
      <c r="O40" s="747">
        <v>0</v>
      </c>
      <c r="P40" s="748">
        <v>0</v>
      </c>
      <c r="Q40" s="97">
        <f t="shared" si="11"/>
        <v>460847</v>
      </c>
      <c r="R40" s="747">
        <v>30.01</v>
      </c>
      <c r="S40" s="748">
        <v>1353641</v>
      </c>
      <c r="T40" s="747">
        <v>0</v>
      </c>
      <c r="U40" s="747">
        <v>0</v>
      </c>
      <c r="V40" s="747">
        <v>0</v>
      </c>
      <c r="W40" s="748">
        <v>0</v>
      </c>
      <c r="X40" s="15">
        <f t="shared" si="12"/>
        <v>1353641</v>
      </c>
      <c r="Y40" s="188">
        <f t="shared" si="13"/>
        <v>40.04</v>
      </c>
      <c r="Z40" s="15">
        <f t="shared" si="14"/>
        <v>1814488</v>
      </c>
      <c r="AA40" s="15">
        <f t="shared" si="15"/>
        <v>0</v>
      </c>
      <c r="AB40" s="189">
        <f aca="true" t="shared" si="22" ref="AB40:AB71">ROUND((X40/E40)*1000,2)</f>
        <v>29.52</v>
      </c>
      <c r="AC40" s="190">
        <f aca="true" t="shared" si="23" ref="AC40:AC71">ROUND((Q40/E40)*1000,2)</f>
        <v>10.05</v>
      </c>
      <c r="AD40" s="156">
        <f aca="true" t="shared" si="24" ref="AD40:AD71">ROUND((AE40/E40)*1000,2)</f>
        <v>39.57</v>
      </c>
      <c r="AE40" s="97">
        <f t="shared" si="16"/>
        <v>1814488</v>
      </c>
      <c r="AF40" s="201">
        <v>0.025</v>
      </c>
      <c r="AG40" s="97">
        <v>2396239</v>
      </c>
      <c r="AH40" s="97">
        <v>1564133</v>
      </c>
      <c r="AI40" s="758">
        <f t="shared" si="17"/>
        <v>3960372</v>
      </c>
      <c r="AJ40" s="97">
        <f>'[6]Table 7 Local Revenue'!AK40</f>
        <v>90640760</v>
      </c>
      <c r="AK40" s="97">
        <f t="shared" si="20"/>
        <v>158414880</v>
      </c>
      <c r="AL40" s="579">
        <f t="shared" si="18"/>
        <v>0.7477223271296489</v>
      </c>
      <c r="AM40" s="523">
        <f t="shared" si="19"/>
        <v>104236873.99999999</v>
      </c>
      <c r="AN40" s="158">
        <f aca="true" t="shared" si="25" ref="AN40:AN76">AG40/AK40</f>
        <v>0.015126350504447562</v>
      </c>
      <c r="AO40" s="158">
        <f aca="true" t="shared" si="26" ref="AO40:AO76">AH40/AK40</f>
        <v>0.009873649495552438</v>
      </c>
      <c r="AP40" s="97">
        <v>51623</v>
      </c>
      <c r="AQ40" s="97">
        <f aca="true" t="shared" si="27" ref="AQ40:AQ71">AP40+AE40+AI40</f>
        <v>5826483</v>
      </c>
      <c r="AR40" s="97">
        <f>ROUND(AQ40/'Table 3 Levels 1&amp;2'!C40,2)</f>
        <v>2975.73</v>
      </c>
    </row>
    <row r="41" spans="1:44" ht="12.75">
      <c r="A41" s="13">
        <v>34</v>
      </c>
      <c r="B41" s="89" t="s">
        <v>335</v>
      </c>
      <c r="C41" s="15">
        <f>'[7]Final'!C42</f>
        <v>171673850</v>
      </c>
      <c r="D41" s="15">
        <f>'[7]Final'!D42</f>
        <v>34408686</v>
      </c>
      <c r="E41" s="15">
        <f t="shared" si="9"/>
        <v>137265164</v>
      </c>
      <c r="F41" s="15">
        <f>'[6]Table 7 Local Revenue'!E41</f>
        <v>134746526</v>
      </c>
      <c r="G41" s="17">
        <f t="shared" si="10"/>
        <v>0.018691672986062734</v>
      </c>
      <c r="H41" s="458">
        <f t="shared" si="21"/>
        <v>137265164</v>
      </c>
      <c r="I41" s="794">
        <v>5.22</v>
      </c>
      <c r="J41" s="748">
        <v>705656</v>
      </c>
      <c r="K41" s="794">
        <v>22.46</v>
      </c>
      <c r="L41" s="748">
        <v>3035645</v>
      </c>
      <c r="M41" s="747">
        <v>5</v>
      </c>
      <c r="N41" s="747">
        <v>9.95</v>
      </c>
      <c r="O41" s="747">
        <v>2</v>
      </c>
      <c r="P41" s="748">
        <v>308163</v>
      </c>
      <c r="Q41" s="97">
        <f t="shared" si="11"/>
        <v>4049464</v>
      </c>
      <c r="R41" s="747">
        <v>10</v>
      </c>
      <c r="S41" s="748">
        <v>1351788</v>
      </c>
      <c r="T41" s="747">
        <v>0</v>
      </c>
      <c r="U41" s="747">
        <v>0</v>
      </c>
      <c r="V41" s="747">
        <v>0</v>
      </c>
      <c r="W41" s="748">
        <v>0</v>
      </c>
      <c r="X41" s="15">
        <f t="shared" si="12"/>
        <v>1351788</v>
      </c>
      <c r="Y41" s="188">
        <f t="shared" si="13"/>
        <v>37.68</v>
      </c>
      <c r="Z41" s="15">
        <f t="shared" si="14"/>
        <v>5093089</v>
      </c>
      <c r="AA41" s="15">
        <f t="shared" si="15"/>
        <v>308163</v>
      </c>
      <c r="AB41" s="189">
        <f t="shared" si="22"/>
        <v>9.85</v>
      </c>
      <c r="AC41" s="190">
        <f t="shared" si="23"/>
        <v>29.5</v>
      </c>
      <c r="AD41" s="156">
        <f t="shared" si="24"/>
        <v>39.35</v>
      </c>
      <c r="AE41" s="97">
        <f t="shared" si="16"/>
        <v>5401252</v>
      </c>
      <c r="AF41" s="201">
        <v>0.02</v>
      </c>
      <c r="AG41" s="97">
        <v>5955413</v>
      </c>
      <c r="AH41" s="97">
        <v>0</v>
      </c>
      <c r="AI41" s="758">
        <f t="shared" si="17"/>
        <v>5955413</v>
      </c>
      <c r="AJ41" s="97">
        <f>'[6]Table 7 Local Revenue'!AK41</f>
        <v>301409300</v>
      </c>
      <c r="AK41" s="97">
        <f t="shared" si="20"/>
        <v>297770650</v>
      </c>
      <c r="AL41" s="201">
        <f t="shared" si="18"/>
        <v>-0.01207212252574821</v>
      </c>
      <c r="AM41" s="97">
        <f t="shared" si="19"/>
        <v>297770650</v>
      </c>
      <c r="AN41" s="158">
        <f t="shared" si="25"/>
        <v>0.02</v>
      </c>
      <c r="AO41" s="158">
        <f t="shared" si="26"/>
        <v>0</v>
      </c>
      <c r="AP41" s="97">
        <v>325690</v>
      </c>
      <c r="AQ41" s="97">
        <f t="shared" si="27"/>
        <v>11682355</v>
      </c>
      <c r="AR41" s="97">
        <f>ROUND(AQ41/'Table 3 Levels 1&amp;2'!C41,2)</f>
        <v>2509.64</v>
      </c>
    </row>
    <row r="42" spans="1:44" ht="12.75">
      <c r="A42" s="19">
        <v>35</v>
      </c>
      <c r="B42" s="90" t="s">
        <v>336</v>
      </c>
      <c r="C42" s="21">
        <f>'[7]Final'!C43</f>
        <v>225776290</v>
      </c>
      <c r="D42" s="21">
        <f>'[7]Final'!D43</f>
        <v>46110247</v>
      </c>
      <c r="E42" s="21">
        <f t="shared" si="9"/>
        <v>179666043</v>
      </c>
      <c r="F42" s="21">
        <f>'[6]Table 7 Local Revenue'!E42</f>
        <v>162491010</v>
      </c>
      <c r="G42" s="578">
        <f t="shared" si="10"/>
        <v>0.10569835832763917</v>
      </c>
      <c r="H42" s="462">
        <f t="shared" si="21"/>
        <v>178740111</v>
      </c>
      <c r="I42" s="795">
        <v>4.65</v>
      </c>
      <c r="J42" s="750">
        <v>798724</v>
      </c>
      <c r="K42" s="795">
        <v>7</v>
      </c>
      <c r="L42" s="750">
        <v>1202381</v>
      </c>
      <c r="M42" s="749">
        <v>7</v>
      </c>
      <c r="N42" s="749">
        <v>20</v>
      </c>
      <c r="O42" s="749">
        <v>5</v>
      </c>
      <c r="P42" s="750">
        <v>1264417</v>
      </c>
      <c r="Q42" s="98">
        <f t="shared" si="11"/>
        <v>3265522</v>
      </c>
      <c r="R42" s="749">
        <v>0</v>
      </c>
      <c r="S42" s="750">
        <v>0</v>
      </c>
      <c r="T42" s="749">
        <v>16</v>
      </c>
      <c r="U42" s="749">
        <v>34</v>
      </c>
      <c r="V42" s="749">
        <v>3</v>
      </c>
      <c r="W42" s="750">
        <v>3328493</v>
      </c>
      <c r="X42" s="21">
        <f t="shared" si="12"/>
        <v>3328493</v>
      </c>
      <c r="Y42" s="191">
        <f t="shared" si="13"/>
        <v>11.65</v>
      </c>
      <c r="Z42" s="21">
        <f t="shared" si="14"/>
        <v>2001105</v>
      </c>
      <c r="AA42" s="21">
        <f t="shared" si="15"/>
        <v>4592910</v>
      </c>
      <c r="AB42" s="192">
        <f t="shared" si="22"/>
        <v>18.53</v>
      </c>
      <c r="AC42" s="193">
        <f t="shared" si="23"/>
        <v>18.18</v>
      </c>
      <c r="AD42" s="157">
        <f t="shared" si="24"/>
        <v>36.7</v>
      </c>
      <c r="AE42" s="98">
        <f t="shared" si="16"/>
        <v>6594015</v>
      </c>
      <c r="AF42" s="202">
        <v>0.02</v>
      </c>
      <c r="AG42" s="98">
        <v>12157467</v>
      </c>
      <c r="AH42" s="98">
        <v>0</v>
      </c>
      <c r="AI42" s="759">
        <f t="shared" si="17"/>
        <v>12157467</v>
      </c>
      <c r="AJ42" s="98">
        <f>'[6]Table 7 Local Revenue'!AK42</f>
        <v>621990700</v>
      </c>
      <c r="AK42" s="98">
        <f t="shared" si="20"/>
        <v>607873350</v>
      </c>
      <c r="AL42" s="202">
        <f t="shared" si="18"/>
        <v>-0.022697043541004713</v>
      </c>
      <c r="AM42" s="98">
        <f t="shared" si="19"/>
        <v>607873350</v>
      </c>
      <c r="AN42" s="159">
        <f t="shared" si="25"/>
        <v>0.02</v>
      </c>
      <c r="AO42" s="159">
        <f t="shared" si="26"/>
        <v>0</v>
      </c>
      <c r="AP42" s="98">
        <v>645251</v>
      </c>
      <c r="AQ42" s="98">
        <f t="shared" si="27"/>
        <v>19396733</v>
      </c>
      <c r="AR42" s="98">
        <f>ROUND(AQ42/'Table 3 Levels 1&amp;2'!C42,2)</f>
        <v>3044.06</v>
      </c>
    </row>
    <row r="43" spans="1:44" ht="12.75">
      <c r="A43" s="13">
        <v>36</v>
      </c>
      <c r="B43" s="89" t="s">
        <v>337</v>
      </c>
      <c r="C43" s="15">
        <f>'[7]Final'!C44</f>
        <v>2836995254</v>
      </c>
      <c r="D43" s="15">
        <f>'[7]Final'!D44</f>
        <v>292878255</v>
      </c>
      <c r="E43" s="15">
        <f t="shared" si="9"/>
        <v>2544116999</v>
      </c>
      <c r="F43" s="15">
        <f>'[6]Table 7 Local Revenue'!E43</f>
        <v>1846137883</v>
      </c>
      <c r="G43" s="577">
        <f t="shared" si="10"/>
        <v>0.3780752902734297</v>
      </c>
      <c r="H43" s="461">
        <f t="shared" si="21"/>
        <v>2030751671.3000002</v>
      </c>
      <c r="I43" s="794">
        <v>20.16</v>
      </c>
      <c r="J43" s="748">
        <v>46794663</v>
      </c>
      <c r="K43" s="794">
        <v>12.72</v>
      </c>
      <c r="L43" s="748">
        <v>29532258</v>
      </c>
      <c r="M43" s="747">
        <v>0</v>
      </c>
      <c r="N43" s="747">
        <v>0</v>
      </c>
      <c r="O43" s="747">
        <v>0</v>
      </c>
      <c r="P43" s="748">
        <v>0</v>
      </c>
      <c r="Q43" s="97">
        <f t="shared" si="11"/>
        <v>76326921</v>
      </c>
      <c r="R43" s="747">
        <v>5.69</v>
      </c>
      <c r="S43" s="748">
        <v>13200666</v>
      </c>
      <c r="T43" s="747">
        <v>0</v>
      </c>
      <c r="U43" s="747">
        <v>0</v>
      </c>
      <c r="V43" s="747">
        <v>0</v>
      </c>
      <c r="W43" s="748">
        <v>0</v>
      </c>
      <c r="X43" s="15">
        <f t="shared" si="12"/>
        <v>13200666</v>
      </c>
      <c r="Y43" s="188">
        <f t="shared" si="13"/>
        <v>38.57</v>
      </c>
      <c r="Z43" s="15">
        <f t="shared" si="14"/>
        <v>89527587</v>
      </c>
      <c r="AA43" s="15">
        <f t="shared" si="15"/>
        <v>0</v>
      </c>
      <c r="AB43" s="189">
        <f t="shared" si="22"/>
        <v>5.19</v>
      </c>
      <c r="AC43" s="190">
        <f t="shared" si="23"/>
        <v>30</v>
      </c>
      <c r="AD43" s="156">
        <f t="shared" si="24"/>
        <v>35.19</v>
      </c>
      <c r="AE43" s="97">
        <f t="shared" si="16"/>
        <v>89527587</v>
      </c>
      <c r="AF43" s="201">
        <v>0.015</v>
      </c>
      <c r="AG43" s="97">
        <v>61984543</v>
      </c>
      <c r="AH43" s="97">
        <v>25511322</v>
      </c>
      <c r="AI43" s="758">
        <f t="shared" si="17"/>
        <v>87495865</v>
      </c>
      <c r="AJ43" s="97">
        <f>'[6]Table 7 Local Revenue'!AK43</f>
        <v>5987834667</v>
      </c>
      <c r="AK43" s="97">
        <f t="shared" si="20"/>
        <v>5833057667</v>
      </c>
      <c r="AL43" s="201">
        <f t="shared" si="18"/>
        <v>-0.025848576089283662</v>
      </c>
      <c r="AM43" s="97">
        <f t="shared" si="19"/>
        <v>5833057667</v>
      </c>
      <c r="AN43" s="158">
        <f t="shared" si="25"/>
        <v>0.010626423830964673</v>
      </c>
      <c r="AO43" s="158">
        <f t="shared" si="26"/>
        <v>0.004373576168178143</v>
      </c>
      <c r="AP43" s="97">
        <v>2595155</v>
      </c>
      <c r="AQ43" s="97">
        <f t="shared" si="27"/>
        <v>179618607</v>
      </c>
      <c r="AR43" s="97">
        <f>ROUND(AQ43/'Table 3 Levels 1&amp;2'!C43,2)</f>
        <v>5331.04</v>
      </c>
    </row>
    <row r="44" spans="1:44" ht="12.75">
      <c r="A44" s="13">
        <v>37</v>
      </c>
      <c r="B44" s="89" t="s">
        <v>338</v>
      </c>
      <c r="C44" s="15">
        <f>'[7]Final'!C45</f>
        <v>577108129</v>
      </c>
      <c r="D44" s="15">
        <f>'[7]Final'!D45</f>
        <v>145908613</v>
      </c>
      <c r="E44" s="15">
        <f t="shared" si="9"/>
        <v>431199516</v>
      </c>
      <c r="F44" s="15">
        <f>'[6]Table 7 Local Revenue'!E44</f>
        <v>399182494</v>
      </c>
      <c r="G44" s="17">
        <f t="shared" si="10"/>
        <v>0.08020647819290393</v>
      </c>
      <c r="H44" s="458">
        <f t="shared" si="21"/>
        <v>431199516</v>
      </c>
      <c r="I44" s="794">
        <v>5.18</v>
      </c>
      <c r="J44" s="748">
        <v>2192430</v>
      </c>
      <c r="K44" s="794">
        <v>24.15</v>
      </c>
      <c r="L44" s="748">
        <v>10221431</v>
      </c>
      <c r="M44" s="747">
        <v>0</v>
      </c>
      <c r="N44" s="747">
        <v>0</v>
      </c>
      <c r="O44" s="747">
        <v>0</v>
      </c>
      <c r="P44" s="748">
        <v>0</v>
      </c>
      <c r="Q44" s="97">
        <f t="shared" si="11"/>
        <v>12413861</v>
      </c>
      <c r="R44" s="747">
        <v>0</v>
      </c>
      <c r="S44" s="748">
        <v>4439488</v>
      </c>
      <c r="T44" s="747">
        <v>30</v>
      </c>
      <c r="U44" s="747">
        <v>30</v>
      </c>
      <c r="V44" s="747">
        <v>2</v>
      </c>
      <c r="W44" s="748">
        <v>0</v>
      </c>
      <c r="X44" s="15">
        <f t="shared" si="12"/>
        <v>4439488</v>
      </c>
      <c r="Y44" s="188">
        <f t="shared" si="13"/>
        <v>29.33</v>
      </c>
      <c r="Z44" s="15">
        <f t="shared" si="14"/>
        <v>16853349</v>
      </c>
      <c r="AA44" s="15">
        <f t="shared" si="15"/>
        <v>0</v>
      </c>
      <c r="AB44" s="189">
        <f t="shared" si="22"/>
        <v>10.3</v>
      </c>
      <c r="AC44" s="190">
        <f t="shared" si="23"/>
        <v>28.79</v>
      </c>
      <c r="AD44" s="156">
        <f t="shared" si="24"/>
        <v>39.08</v>
      </c>
      <c r="AE44" s="97">
        <f t="shared" si="16"/>
        <v>16853349</v>
      </c>
      <c r="AF44" s="201">
        <v>0.03</v>
      </c>
      <c r="AG44" s="97">
        <v>37052593</v>
      </c>
      <c r="AH44" s="97">
        <v>0</v>
      </c>
      <c r="AI44" s="758">
        <f t="shared" si="17"/>
        <v>37052593</v>
      </c>
      <c r="AJ44" s="97">
        <f>'[6]Table 7 Local Revenue'!AK44</f>
        <v>1168574233</v>
      </c>
      <c r="AK44" s="97">
        <f t="shared" si="20"/>
        <v>1235086433</v>
      </c>
      <c r="AL44" s="201">
        <f t="shared" si="18"/>
        <v>0.056917393967559786</v>
      </c>
      <c r="AM44" s="97">
        <f t="shared" si="19"/>
        <v>1235086433</v>
      </c>
      <c r="AN44" s="158">
        <f t="shared" si="25"/>
        <v>0.0300000000080966</v>
      </c>
      <c r="AO44" s="158">
        <f t="shared" si="26"/>
        <v>0</v>
      </c>
      <c r="AP44" s="97">
        <v>840839</v>
      </c>
      <c r="AQ44" s="97">
        <f t="shared" si="27"/>
        <v>54746781</v>
      </c>
      <c r="AR44" s="97">
        <f>ROUND(AQ44/'Table 3 Levels 1&amp;2'!C44,2)</f>
        <v>2953.22</v>
      </c>
    </row>
    <row r="45" spans="1:44" ht="12.75">
      <c r="A45" s="13">
        <v>38</v>
      </c>
      <c r="B45" s="89" t="s">
        <v>339</v>
      </c>
      <c r="C45" s="15">
        <f>'[7]Final'!C46</f>
        <v>650730980</v>
      </c>
      <c r="D45" s="15">
        <f>'[7]Final'!D46</f>
        <v>24504045</v>
      </c>
      <c r="E45" s="15">
        <f t="shared" si="9"/>
        <v>626226935</v>
      </c>
      <c r="F45" s="15">
        <f>'[6]Table 7 Local Revenue'!E45</f>
        <v>558779545</v>
      </c>
      <c r="G45" s="577">
        <f t="shared" si="10"/>
        <v>0.12070483002379767</v>
      </c>
      <c r="H45" s="461">
        <f t="shared" si="21"/>
        <v>614657499.5</v>
      </c>
      <c r="I45" s="794">
        <v>6.03</v>
      </c>
      <c r="J45" s="748">
        <v>3626830</v>
      </c>
      <c r="K45" s="794">
        <v>18.38</v>
      </c>
      <c r="L45" s="748">
        <v>11172974</v>
      </c>
      <c r="M45" s="747">
        <v>0</v>
      </c>
      <c r="N45" s="747">
        <v>0</v>
      </c>
      <c r="O45" s="747">
        <v>0</v>
      </c>
      <c r="P45" s="748">
        <v>0</v>
      </c>
      <c r="Q45" s="97">
        <f t="shared" si="11"/>
        <v>14799804</v>
      </c>
      <c r="R45" s="747">
        <v>0</v>
      </c>
      <c r="S45" s="748">
        <v>0</v>
      </c>
      <c r="T45" s="747">
        <v>0</v>
      </c>
      <c r="U45" s="747">
        <v>0</v>
      </c>
      <c r="V45" s="747">
        <v>0</v>
      </c>
      <c r="W45" s="748">
        <v>0</v>
      </c>
      <c r="X45" s="15">
        <f t="shared" si="12"/>
        <v>0</v>
      </c>
      <c r="Y45" s="188">
        <f t="shared" si="13"/>
        <v>24.41</v>
      </c>
      <c r="Z45" s="15">
        <f t="shared" si="14"/>
        <v>14799804</v>
      </c>
      <c r="AA45" s="15">
        <f t="shared" si="15"/>
        <v>0</v>
      </c>
      <c r="AB45" s="189">
        <f t="shared" si="22"/>
        <v>0</v>
      </c>
      <c r="AC45" s="190">
        <f t="shared" si="23"/>
        <v>23.63</v>
      </c>
      <c r="AD45" s="156">
        <f t="shared" si="24"/>
        <v>23.63</v>
      </c>
      <c r="AE45" s="97">
        <f t="shared" si="16"/>
        <v>14799804</v>
      </c>
      <c r="AF45" s="201">
        <v>0.02</v>
      </c>
      <c r="AG45" s="97">
        <v>13668159</v>
      </c>
      <c r="AH45" s="97">
        <v>2903081</v>
      </c>
      <c r="AI45" s="758">
        <f t="shared" si="17"/>
        <v>16571240</v>
      </c>
      <c r="AJ45" s="97">
        <f>'[6]Table 7 Local Revenue'!AK45</f>
        <v>830566050</v>
      </c>
      <c r="AK45" s="97">
        <f t="shared" si="20"/>
        <v>828562000</v>
      </c>
      <c r="AL45" s="201">
        <f t="shared" si="18"/>
        <v>-0.0024128725222997017</v>
      </c>
      <c r="AM45" s="97">
        <f t="shared" si="19"/>
        <v>828562000</v>
      </c>
      <c r="AN45" s="158">
        <f t="shared" si="25"/>
        <v>0.016496241681370857</v>
      </c>
      <c r="AO45" s="158">
        <f t="shared" si="26"/>
        <v>0.003503758318629143</v>
      </c>
      <c r="AP45" s="97">
        <v>268967</v>
      </c>
      <c r="AQ45" s="97">
        <f t="shared" si="27"/>
        <v>31640011</v>
      </c>
      <c r="AR45" s="97">
        <f>ROUND(AQ45/'Table 3 Levels 1&amp;2'!C45,2)</f>
        <v>9216.43</v>
      </c>
    </row>
    <row r="46" spans="1:44" ht="12.75">
      <c r="A46" s="13">
        <v>39</v>
      </c>
      <c r="B46" s="89" t="s">
        <v>340</v>
      </c>
      <c r="C46" s="15">
        <f>'[7]Final'!C47</f>
        <v>311665449</v>
      </c>
      <c r="D46" s="15">
        <f>'[7]Final'!D47</f>
        <v>36491875</v>
      </c>
      <c r="E46" s="15">
        <f t="shared" si="9"/>
        <v>275173574</v>
      </c>
      <c r="F46" s="15">
        <f>'[6]Table 7 Local Revenue'!E46</f>
        <v>264951101</v>
      </c>
      <c r="G46" s="17">
        <f t="shared" si="10"/>
        <v>0.03858248922694607</v>
      </c>
      <c r="H46" s="458">
        <f t="shared" si="21"/>
        <v>275173574</v>
      </c>
      <c r="I46" s="794">
        <v>4.54</v>
      </c>
      <c r="J46" s="748">
        <v>1246276</v>
      </c>
      <c r="K46" s="794">
        <v>11.96</v>
      </c>
      <c r="L46" s="748">
        <v>3283143</v>
      </c>
      <c r="M46" s="747">
        <v>0</v>
      </c>
      <c r="N46" s="747">
        <v>0</v>
      </c>
      <c r="O46" s="747">
        <v>0</v>
      </c>
      <c r="P46" s="748">
        <v>0</v>
      </c>
      <c r="Q46" s="97">
        <f t="shared" si="11"/>
        <v>4529419</v>
      </c>
      <c r="R46" s="747">
        <v>0</v>
      </c>
      <c r="S46" s="748">
        <v>0</v>
      </c>
      <c r="T46" s="747">
        <v>1.5</v>
      </c>
      <c r="U46" s="747">
        <v>10</v>
      </c>
      <c r="V46" s="747">
        <v>2</v>
      </c>
      <c r="W46" s="748">
        <v>595517</v>
      </c>
      <c r="X46" s="15">
        <f t="shared" si="12"/>
        <v>595517</v>
      </c>
      <c r="Y46" s="188">
        <f t="shared" si="13"/>
        <v>16.5</v>
      </c>
      <c r="Z46" s="15">
        <f t="shared" si="14"/>
        <v>4529419</v>
      </c>
      <c r="AA46" s="15">
        <f t="shared" si="15"/>
        <v>595517</v>
      </c>
      <c r="AB46" s="189">
        <f t="shared" si="22"/>
        <v>2.16</v>
      </c>
      <c r="AC46" s="190">
        <f t="shared" si="23"/>
        <v>16.46</v>
      </c>
      <c r="AD46" s="156">
        <f t="shared" si="24"/>
        <v>18.62</v>
      </c>
      <c r="AE46" s="97">
        <f t="shared" si="16"/>
        <v>5124936</v>
      </c>
      <c r="AF46" s="201">
        <v>0.02</v>
      </c>
      <c r="AG46" s="97">
        <v>7181653</v>
      </c>
      <c r="AH46" s="97">
        <v>0</v>
      </c>
      <c r="AI46" s="758">
        <f t="shared" si="17"/>
        <v>7181653</v>
      </c>
      <c r="AJ46" s="97">
        <f>'[6]Table 7 Local Revenue'!AK46</f>
        <v>349377950</v>
      </c>
      <c r="AK46" s="97">
        <f t="shared" si="20"/>
        <v>359082650</v>
      </c>
      <c r="AL46" s="201">
        <f t="shared" si="18"/>
        <v>0.027777082096909666</v>
      </c>
      <c r="AM46" s="97">
        <f t="shared" si="19"/>
        <v>359082650</v>
      </c>
      <c r="AN46" s="158">
        <f t="shared" si="25"/>
        <v>0.02</v>
      </c>
      <c r="AO46" s="158">
        <f t="shared" si="26"/>
        <v>0</v>
      </c>
      <c r="AP46" s="97">
        <v>208818</v>
      </c>
      <c r="AQ46" s="97">
        <f t="shared" si="27"/>
        <v>12515407</v>
      </c>
      <c r="AR46" s="97">
        <f>ROUND(AQ46/'Table 3 Levels 1&amp;2'!C46,2)</f>
        <v>4365.33</v>
      </c>
    </row>
    <row r="47" spans="1:44" ht="12.75">
      <c r="A47" s="19">
        <v>40</v>
      </c>
      <c r="B47" s="90" t="s">
        <v>341</v>
      </c>
      <c r="C47" s="21">
        <f>'[7]Final'!C48</f>
        <v>714371754</v>
      </c>
      <c r="D47" s="21">
        <f>'[7]Final'!D48</f>
        <v>165283885</v>
      </c>
      <c r="E47" s="21">
        <f t="shared" si="9"/>
        <v>549087869</v>
      </c>
      <c r="F47" s="21">
        <f>'[6]Table 7 Local Revenue'!E47</f>
        <v>510406854</v>
      </c>
      <c r="G47" s="374">
        <f t="shared" si="10"/>
        <v>0.07578467000758575</v>
      </c>
      <c r="H47" s="459">
        <f t="shared" si="21"/>
        <v>549087869</v>
      </c>
      <c r="I47" s="795">
        <v>4.78</v>
      </c>
      <c r="J47" s="750">
        <v>2583953</v>
      </c>
      <c r="K47" s="795">
        <v>20.99</v>
      </c>
      <c r="L47" s="750">
        <v>11347028</v>
      </c>
      <c r="M47" s="749">
        <v>3.04</v>
      </c>
      <c r="N47" s="749">
        <v>24.15</v>
      </c>
      <c r="O47" s="749">
        <v>13</v>
      </c>
      <c r="P47" s="750">
        <v>5422176</v>
      </c>
      <c r="Q47" s="98">
        <f t="shared" si="11"/>
        <v>19353157</v>
      </c>
      <c r="R47" s="749">
        <v>0</v>
      </c>
      <c r="S47" s="750">
        <v>0</v>
      </c>
      <c r="T47" s="749">
        <v>0.5</v>
      </c>
      <c r="U47" s="749">
        <v>55</v>
      </c>
      <c r="V47" s="749">
        <v>13</v>
      </c>
      <c r="W47" s="750">
        <v>7411729</v>
      </c>
      <c r="X47" s="21">
        <f t="shared" si="12"/>
        <v>7411729</v>
      </c>
      <c r="Y47" s="191">
        <f t="shared" si="13"/>
        <v>25.77</v>
      </c>
      <c r="Z47" s="21">
        <f t="shared" si="14"/>
        <v>13930981</v>
      </c>
      <c r="AA47" s="21">
        <f t="shared" si="15"/>
        <v>12833905</v>
      </c>
      <c r="AB47" s="192">
        <f t="shared" si="22"/>
        <v>13.5</v>
      </c>
      <c r="AC47" s="193">
        <f t="shared" si="23"/>
        <v>35.25</v>
      </c>
      <c r="AD47" s="157">
        <f t="shared" si="24"/>
        <v>48.74</v>
      </c>
      <c r="AE47" s="98">
        <f t="shared" si="16"/>
        <v>26764886</v>
      </c>
      <c r="AF47" s="202">
        <v>0.015</v>
      </c>
      <c r="AG47" s="98">
        <v>36983433</v>
      </c>
      <c r="AH47" s="98">
        <v>0</v>
      </c>
      <c r="AI47" s="759">
        <f t="shared" si="17"/>
        <v>36983433</v>
      </c>
      <c r="AJ47" s="98">
        <f>'[6]Table 7 Local Revenue'!AK47</f>
        <v>2320854067</v>
      </c>
      <c r="AK47" s="98">
        <f t="shared" si="20"/>
        <v>2465562200</v>
      </c>
      <c r="AL47" s="202">
        <f t="shared" si="18"/>
        <v>0.06235124175086705</v>
      </c>
      <c r="AM47" s="98">
        <f t="shared" si="19"/>
        <v>2465562200</v>
      </c>
      <c r="AN47" s="159">
        <f t="shared" si="25"/>
        <v>0.015</v>
      </c>
      <c r="AO47" s="159">
        <f t="shared" si="26"/>
        <v>0</v>
      </c>
      <c r="AP47" s="98">
        <v>1319510</v>
      </c>
      <c r="AQ47" s="98">
        <f t="shared" si="27"/>
        <v>65067829</v>
      </c>
      <c r="AR47" s="98">
        <f>ROUND(AQ47/'Table 3 Levels 1&amp;2'!C47,2)</f>
        <v>2879.11</v>
      </c>
    </row>
    <row r="48" spans="1:44" ht="12.75">
      <c r="A48" s="13">
        <v>41</v>
      </c>
      <c r="B48" s="89" t="s">
        <v>342</v>
      </c>
      <c r="C48" s="15">
        <f>'[7]Final'!C49</f>
        <v>41826500</v>
      </c>
      <c r="D48" s="15">
        <f>'[7]Final'!D49</f>
        <v>9872080</v>
      </c>
      <c r="E48" s="15">
        <f t="shared" si="9"/>
        <v>31954420</v>
      </c>
      <c r="F48" s="15">
        <f>'[6]Table 7 Local Revenue'!E48</f>
        <v>28909260</v>
      </c>
      <c r="G48" s="577">
        <f t="shared" si="10"/>
        <v>0.10533510715943611</v>
      </c>
      <c r="H48" s="461">
        <f t="shared" si="21"/>
        <v>31800186.000000004</v>
      </c>
      <c r="I48" s="794">
        <v>4.63</v>
      </c>
      <c r="J48" s="748">
        <v>142342</v>
      </c>
      <c r="K48" s="794">
        <v>37.13</v>
      </c>
      <c r="L48" s="748">
        <v>1141430</v>
      </c>
      <c r="M48" s="747">
        <v>0</v>
      </c>
      <c r="N48" s="747">
        <v>0</v>
      </c>
      <c r="O48" s="747">
        <v>0</v>
      </c>
      <c r="P48" s="748">
        <v>0</v>
      </c>
      <c r="Q48" s="97">
        <f t="shared" si="11"/>
        <v>1283772</v>
      </c>
      <c r="R48" s="747">
        <v>42</v>
      </c>
      <c r="S48" s="748">
        <v>1291137</v>
      </c>
      <c r="T48" s="747">
        <v>0</v>
      </c>
      <c r="U48" s="747">
        <v>0</v>
      </c>
      <c r="V48" s="747">
        <v>0</v>
      </c>
      <c r="W48" s="748">
        <v>0</v>
      </c>
      <c r="X48" s="15">
        <f t="shared" si="12"/>
        <v>1291137</v>
      </c>
      <c r="Y48" s="188">
        <f t="shared" si="13"/>
        <v>83.76</v>
      </c>
      <c r="Z48" s="15">
        <f t="shared" si="14"/>
        <v>2574909</v>
      </c>
      <c r="AA48" s="15">
        <f t="shared" si="15"/>
        <v>0</v>
      </c>
      <c r="AB48" s="189">
        <f t="shared" si="22"/>
        <v>40.41</v>
      </c>
      <c r="AC48" s="190">
        <f t="shared" si="23"/>
        <v>40.18</v>
      </c>
      <c r="AD48" s="156">
        <f t="shared" si="24"/>
        <v>80.58</v>
      </c>
      <c r="AE48" s="97">
        <f t="shared" si="16"/>
        <v>2574909</v>
      </c>
      <c r="AF48" s="201">
        <v>0.02</v>
      </c>
      <c r="AG48" s="97">
        <v>2336282</v>
      </c>
      <c r="AH48" s="97">
        <v>0</v>
      </c>
      <c r="AI48" s="758">
        <f t="shared" si="17"/>
        <v>2336282</v>
      </c>
      <c r="AJ48" s="97">
        <f>'[6]Table 7 Local Revenue'!AK48</f>
        <v>93021100</v>
      </c>
      <c r="AK48" s="97">
        <f t="shared" si="20"/>
        <v>116814100</v>
      </c>
      <c r="AL48" s="579">
        <f t="shared" si="18"/>
        <v>0.2557806777172061</v>
      </c>
      <c r="AM48" s="523">
        <f t="shared" si="19"/>
        <v>106974264.99999999</v>
      </c>
      <c r="AN48" s="158">
        <f t="shared" si="25"/>
        <v>0.02</v>
      </c>
      <c r="AO48" s="158">
        <f t="shared" si="26"/>
        <v>0</v>
      </c>
      <c r="AP48" s="97">
        <v>55230</v>
      </c>
      <c r="AQ48" s="97">
        <f t="shared" si="27"/>
        <v>4966421</v>
      </c>
      <c r="AR48" s="97">
        <f>ROUND(AQ48/'Table 3 Levels 1&amp;2'!C48,2)</f>
        <v>3611.94</v>
      </c>
    </row>
    <row r="49" spans="1:44" ht="12.75">
      <c r="A49" s="13">
        <v>42</v>
      </c>
      <c r="B49" s="89" t="s">
        <v>343</v>
      </c>
      <c r="C49" s="15">
        <f>'[7]Final'!C50</f>
        <v>95358810</v>
      </c>
      <c r="D49" s="15">
        <f>'[7]Final'!D50</f>
        <v>25486913</v>
      </c>
      <c r="E49" s="15">
        <f t="shared" si="9"/>
        <v>69871897</v>
      </c>
      <c r="F49" s="15">
        <f>'[6]Table 7 Local Revenue'!E49</f>
        <v>65046287</v>
      </c>
      <c r="G49" s="17">
        <f t="shared" si="10"/>
        <v>0.07418732448171869</v>
      </c>
      <c r="H49" s="458">
        <f t="shared" si="21"/>
        <v>69871897</v>
      </c>
      <c r="I49" s="794">
        <v>7.79</v>
      </c>
      <c r="J49" s="748">
        <v>617845</v>
      </c>
      <c r="K49" s="794">
        <v>7.69</v>
      </c>
      <c r="L49" s="748">
        <v>510794</v>
      </c>
      <c r="M49" s="747">
        <v>0</v>
      </c>
      <c r="N49" s="747">
        <v>0</v>
      </c>
      <c r="O49" s="747">
        <v>4</v>
      </c>
      <c r="P49" s="748">
        <v>0</v>
      </c>
      <c r="Q49" s="97">
        <f t="shared" si="11"/>
        <v>1128639</v>
      </c>
      <c r="R49" s="747">
        <v>0</v>
      </c>
      <c r="S49" s="748">
        <v>0</v>
      </c>
      <c r="T49" s="747">
        <v>12</v>
      </c>
      <c r="U49" s="747">
        <v>30</v>
      </c>
      <c r="V49" s="747">
        <v>4</v>
      </c>
      <c r="W49" s="748">
        <v>1633726</v>
      </c>
      <c r="X49" s="15">
        <f t="shared" si="12"/>
        <v>1633726</v>
      </c>
      <c r="Y49" s="188">
        <f t="shared" si="13"/>
        <v>15.48</v>
      </c>
      <c r="Z49" s="15">
        <f t="shared" si="14"/>
        <v>1128639</v>
      </c>
      <c r="AA49" s="15">
        <f t="shared" si="15"/>
        <v>1633726</v>
      </c>
      <c r="AB49" s="189">
        <f t="shared" si="22"/>
        <v>23.38</v>
      </c>
      <c r="AC49" s="190">
        <f t="shared" si="23"/>
        <v>16.15</v>
      </c>
      <c r="AD49" s="156">
        <f t="shared" si="24"/>
        <v>39.53</v>
      </c>
      <c r="AE49" s="97">
        <f t="shared" si="16"/>
        <v>2762365</v>
      </c>
      <c r="AF49" s="201">
        <v>0.02</v>
      </c>
      <c r="AG49" s="97">
        <v>5447094</v>
      </c>
      <c r="AH49" s="97">
        <v>0</v>
      </c>
      <c r="AI49" s="758">
        <f t="shared" si="17"/>
        <v>5447094</v>
      </c>
      <c r="AJ49" s="97">
        <f>'[6]Table 7 Local Revenue'!AK49</f>
        <v>249656250</v>
      </c>
      <c r="AK49" s="97">
        <f t="shared" si="20"/>
        <v>272354700</v>
      </c>
      <c r="AL49" s="201">
        <f t="shared" si="18"/>
        <v>0.09091881336838152</v>
      </c>
      <c r="AM49" s="97">
        <f t="shared" si="19"/>
        <v>272354700</v>
      </c>
      <c r="AN49" s="158">
        <f t="shared" si="25"/>
        <v>0.02</v>
      </c>
      <c r="AO49" s="158">
        <f t="shared" si="26"/>
        <v>0</v>
      </c>
      <c r="AP49" s="97">
        <v>224783</v>
      </c>
      <c r="AQ49" s="97">
        <f t="shared" si="27"/>
        <v>8434242</v>
      </c>
      <c r="AR49" s="97">
        <f>ROUND(AQ49/'Table 3 Levels 1&amp;2'!C49,2)</f>
        <v>2562.04</v>
      </c>
    </row>
    <row r="50" spans="1:44" ht="12.75">
      <c r="A50" s="13">
        <v>43</v>
      </c>
      <c r="B50" s="89" t="s">
        <v>344</v>
      </c>
      <c r="C50" s="15">
        <f>'[7]Final'!C51</f>
        <v>114122642</v>
      </c>
      <c r="D50" s="15">
        <f>'[7]Final'!D51</f>
        <v>29709527</v>
      </c>
      <c r="E50" s="15">
        <f t="shared" si="9"/>
        <v>84413115</v>
      </c>
      <c r="F50" s="15">
        <f>'[6]Table 7 Local Revenue'!E50</f>
        <v>83488778</v>
      </c>
      <c r="G50" s="17">
        <f t="shared" si="10"/>
        <v>0.011071392133682925</v>
      </c>
      <c r="H50" s="458">
        <f t="shared" si="21"/>
        <v>84413115</v>
      </c>
      <c r="I50" s="794">
        <v>4.8</v>
      </c>
      <c r="J50" s="748">
        <v>404340</v>
      </c>
      <c r="K50" s="794">
        <v>8.1</v>
      </c>
      <c r="L50" s="748">
        <v>682323</v>
      </c>
      <c r="M50" s="747">
        <v>6.63</v>
      </c>
      <c r="N50" s="747">
        <v>11.24</v>
      </c>
      <c r="O50" s="747">
        <v>7</v>
      </c>
      <c r="P50" s="748">
        <v>688084</v>
      </c>
      <c r="Q50" s="97">
        <f t="shared" si="11"/>
        <v>1774747</v>
      </c>
      <c r="R50" s="747">
        <v>0</v>
      </c>
      <c r="S50" s="748">
        <v>0</v>
      </c>
      <c r="T50" s="747">
        <v>14</v>
      </c>
      <c r="U50" s="747">
        <v>44</v>
      </c>
      <c r="V50" s="747">
        <v>7</v>
      </c>
      <c r="W50" s="748">
        <v>1744129</v>
      </c>
      <c r="X50" s="15">
        <f t="shared" si="12"/>
        <v>1744129</v>
      </c>
      <c r="Y50" s="188">
        <f t="shared" si="13"/>
        <v>12.899999999999999</v>
      </c>
      <c r="Z50" s="15">
        <f t="shared" si="14"/>
        <v>1086663</v>
      </c>
      <c r="AA50" s="15">
        <f t="shared" si="15"/>
        <v>2432213</v>
      </c>
      <c r="AB50" s="189">
        <f t="shared" si="22"/>
        <v>20.66</v>
      </c>
      <c r="AC50" s="190">
        <f t="shared" si="23"/>
        <v>21.02</v>
      </c>
      <c r="AD50" s="156">
        <f t="shared" si="24"/>
        <v>41.69</v>
      </c>
      <c r="AE50" s="97">
        <f t="shared" si="16"/>
        <v>3518876</v>
      </c>
      <c r="AF50" s="201">
        <v>0.025</v>
      </c>
      <c r="AG50" s="97">
        <v>5969576</v>
      </c>
      <c r="AH50" s="97">
        <v>608423</v>
      </c>
      <c r="AI50" s="758">
        <f t="shared" si="17"/>
        <v>6577999</v>
      </c>
      <c r="AJ50" s="97">
        <f>'[6]Table 7 Local Revenue'!AK50</f>
        <v>253875650</v>
      </c>
      <c r="AK50" s="97">
        <f t="shared" si="20"/>
        <v>263119960</v>
      </c>
      <c r="AL50" s="201">
        <f t="shared" si="18"/>
        <v>0.03641274773693342</v>
      </c>
      <c r="AM50" s="97">
        <f t="shared" si="19"/>
        <v>263119960</v>
      </c>
      <c r="AN50" s="158">
        <f t="shared" si="25"/>
        <v>0.0226876592714593</v>
      </c>
      <c r="AO50" s="158">
        <f t="shared" si="26"/>
        <v>0.0023123407285407004</v>
      </c>
      <c r="AP50" s="97">
        <v>158886</v>
      </c>
      <c r="AQ50" s="97">
        <f t="shared" si="27"/>
        <v>10255761</v>
      </c>
      <c r="AR50" s="97">
        <f>ROUND(AQ50/'Table 3 Levels 1&amp;2'!C50,2)</f>
        <v>2620.95</v>
      </c>
    </row>
    <row r="51" spans="1:44" ht="12.75">
      <c r="A51" s="13">
        <v>44</v>
      </c>
      <c r="B51" s="89" t="s">
        <v>345</v>
      </c>
      <c r="C51" s="15">
        <f>'[7]Final'!C52</f>
        <v>266382520</v>
      </c>
      <c r="D51" s="15">
        <f>'[7]Final'!D52</f>
        <v>36117327</v>
      </c>
      <c r="E51" s="15">
        <f t="shared" si="9"/>
        <v>230265193</v>
      </c>
      <c r="F51" s="15">
        <f>'[6]Table 7 Local Revenue'!E51</f>
        <v>221377946</v>
      </c>
      <c r="G51" s="17">
        <f t="shared" si="10"/>
        <v>0.04014513261406807</v>
      </c>
      <c r="H51" s="458">
        <f t="shared" si="21"/>
        <v>230265193</v>
      </c>
      <c r="I51" s="794">
        <v>3.75</v>
      </c>
      <c r="J51" s="748">
        <v>824496</v>
      </c>
      <c r="K51" s="794">
        <v>31.25</v>
      </c>
      <c r="L51" s="748">
        <v>6870801</v>
      </c>
      <c r="M51" s="747">
        <v>0</v>
      </c>
      <c r="N51" s="747">
        <v>0</v>
      </c>
      <c r="O51" s="747">
        <v>0</v>
      </c>
      <c r="P51" s="748">
        <v>0</v>
      </c>
      <c r="Q51" s="97">
        <f t="shared" si="11"/>
        <v>7695297</v>
      </c>
      <c r="R51" s="747">
        <v>12.5</v>
      </c>
      <c r="S51" s="748">
        <v>2752933</v>
      </c>
      <c r="T51" s="747">
        <v>0</v>
      </c>
      <c r="U51" s="747">
        <v>0</v>
      </c>
      <c r="V51" s="747">
        <v>0</v>
      </c>
      <c r="W51" s="748">
        <v>0</v>
      </c>
      <c r="X51" s="15">
        <f t="shared" si="12"/>
        <v>2752933</v>
      </c>
      <c r="Y51" s="188">
        <f t="shared" si="13"/>
        <v>47.5</v>
      </c>
      <c r="Z51" s="15">
        <f t="shared" si="14"/>
        <v>10448230</v>
      </c>
      <c r="AA51" s="15">
        <f t="shared" si="15"/>
        <v>0</v>
      </c>
      <c r="AB51" s="189">
        <f t="shared" si="22"/>
        <v>11.96</v>
      </c>
      <c r="AC51" s="190">
        <f t="shared" si="23"/>
        <v>33.42</v>
      </c>
      <c r="AD51" s="156">
        <f t="shared" si="24"/>
        <v>45.37</v>
      </c>
      <c r="AE51" s="97">
        <f t="shared" si="16"/>
        <v>10448230</v>
      </c>
      <c r="AF51" s="201">
        <v>0.02</v>
      </c>
      <c r="AG51" s="97">
        <v>11205259</v>
      </c>
      <c r="AH51" s="97">
        <v>609130</v>
      </c>
      <c r="AI51" s="758">
        <f t="shared" si="17"/>
        <v>11814389</v>
      </c>
      <c r="AJ51" s="97">
        <f>'[6]Table 7 Local Revenue'!AK51</f>
        <v>574807850</v>
      </c>
      <c r="AK51" s="97">
        <f t="shared" si="20"/>
        <v>590719450</v>
      </c>
      <c r="AL51" s="201">
        <f t="shared" si="18"/>
        <v>0.027681598294108198</v>
      </c>
      <c r="AM51" s="97">
        <f t="shared" si="19"/>
        <v>590719450</v>
      </c>
      <c r="AN51" s="158">
        <f t="shared" si="25"/>
        <v>0.018968833682385097</v>
      </c>
      <c r="AO51" s="158">
        <f t="shared" si="26"/>
        <v>0.0010311663176149016</v>
      </c>
      <c r="AP51" s="97">
        <v>343258</v>
      </c>
      <c r="AQ51" s="97">
        <f t="shared" si="27"/>
        <v>22605877</v>
      </c>
      <c r="AR51" s="97">
        <f>ROUND(AQ51/'Table 3 Levels 1&amp;2'!C51,2)</f>
        <v>5186.02</v>
      </c>
    </row>
    <row r="52" spans="1:44" ht="12.75">
      <c r="A52" s="19">
        <v>45</v>
      </c>
      <c r="B52" s="90" t="s">
        <v>346</v>
      </c>
      <c r="C52" s="21">
        <f>'[7]Final'!C53</f>
        <v>1017863492</v>
      </c>
      <c r="D52" s="21">
        <f>'[7]Final'!D53</f>
        <v>94652223</v>
      </c>
      <c r="E52" s="21">
        <f t="shared" si="9"/>
        <v>923211269</v>
      </c>
      <c r="F52" s="21">
        <f>'[6]Table 7 Local Revenue'!E52</f>
        <v>850550817</v>
      </c>
      <c r="G52" s="374">
        <f t="shared" si="10"/>
        <v>0.08542752596050943</v>
      </c>
      <c r="H52" s="459">
        <f t="shared" si="21"/>
        <v>923211269</v>
      </c>
      <c r="I52" s="795">
        <v>4.1</v>
      </c>
      <c r="J52" s="750">
        <v>3778393</v>
      </c>
      <c r="K52" s="795">
        <v>47.45</v>
      </c>
      <c r="L52" s="750">
        <v>42651410</v>
      </c>
      <c r="M52" s="749">
        <v>0</v>
      </c>
      <c r="N52" s="749">
        <v>0</v>
      </c>
      <c r="O52" s="749">
        <v>0</v>
      </c>
      <c r="P52" s="750">
        <v>0</v>
      </c>
      <c r="Q52" s="98">
        <f t="shared" si="11"/>
        <v>46429803</v>
      </c>
      <c r="R52" s="749">
        <v>6.36</v>
      </c>
      <c r="S52" s="750">
        <v>5861105</v>
      </c>
      <c r="T52" s="749">
        <v>0</v>
      </c>
      <c r="U52" s="749">
        <v>0</v>
      </c>
      <c r="V52" s="749">
        <v>0</v>
      </c>
      <c r="W52" s="750">
        <v>0</v>
      </c>
      <c r="X52" s="21">
        <f t="shared" si="12"/>
        <v>5861105</v>
      </c>
      <c r="Y52" s="191">
        <f t="shared" si="13"/>
        <v>57.910000000000004</v>
      </c>
      <c r="Z52" s="21">
        <f t="shared" si="14"/>
        <v>52290908</v>
      </c>
      <c r="AA52" s="21">
        <f t="shared" si="15"/>
        <v>0</v>
      </c>
      <c r="AB52" s="192">
        <f t="shared" si="22"/>
        <v>6.35</v>
      </c>
      <c r="AC52" s="193">
        <f t="shared" si="23"/>
        <v>50.29</v>
      </c>
      <c r="AD52" s="157">
        <f t="shared" si="24"/>
        <v>56.64</v>
      </c>
      <c r="AE52" s="98">
        <f t="shared" si="16"/>
        <v>52290908</v>
      </c>
      <c r="AF52" s="202">
        <v>0.03</v>
      </c>
      <c r="AG52" s="98">
        <v>43812783</v>
      </c>
      <c r="AH52" s="98">
        <v>1347064</v>
      </c>
      <c r="AI52" s="759">
        <f t="shared" si="17"/>
        <v>45159847</v>
      </c>
      <c r="AJ52" s="98">
        <f>'[6]Table 7 Local Revenue'!AK52</f>
        <v>1440948700</v>
      </c>
      <c r="AK52" s="98">
        <f aca="true" t="shared" si="28" ref="AK52:AK76">ROUND(AI52/AF52,0)</f>
        <v>1505328233</v>
      </c>
      <c r="AL52" s="202">
        <f t="shared" si="18"/>
        <v>0.04467857391453284</v>
      </c>
      <c r="AM52" s="98">
        <f t="shared" si="19"/>
        <v>1505328233</v>
      </c>
      <c r="AN52" s="159">
        <f t="shared" si="25"/>
        <v>0.02910513603580303</v>
      </c>
      <c r="AO52" s="159">
        <f t="shared" si="26"/>
        <v>0.0008948639708400394</v>
      </c>
      <c r="AP52" s="98">
        <v>286473</v>
      </c>
      <c r="AQ52" s="98">
        <f t="shared" si="27"/>
        <v>97737228</v>
      </c>
      <c r="AR52" s="98">
        <f>ROUND(AQ52/'Table 3 Levels 1&amp;2'!C52,2)</f>
        <v>10560.48</v>
      </c>
    </row>
    <row r="53" spans="1:44" s="95" customFormat="1" ht="12.75">
      <c r="A53" s="126">
        <v>46</v>
      </c>
      <c r="B53" s="204" t="s">
        <v>347</v>
      </c>
      <c r="C53" s="97">
        <f>'[7]Final'!C54</f>
        <v>58339520</v>
      </c>
      <c r="D53" s="97">
        <f>'[7]Final'!D54</f>
        <v>16281120</v>
      </c>
      <c r="E53" s="97">
        <f t="shared" si="9"/>
        <v>42058400</v>
      </c>
      <c r="F53" s="97">
        <f>'[6]Table 7 Local Revenue'!E53</f>
        <v>37977430</v>
      </c>
      <c r="G53" s="577">
        <f t="shared" si="10"/>
        <v>0.10745777162909655</v>
      </c>
      <c r="H53" s="461">
        <f t="shared" si="21"/>
        <v>41775173</v>
      </c>
      <c r="I53" s="796">
        <v>3.38</v>
      </c>
      <c r="J53" s="752">
        <v>129286</v>
      </c>
      <c r="K53" s="796">
        <v>14.48</v>
      </c>
      <c r="L53" s="752">
        <v>553863</v>
      </c>
      <c r="M53" s="751">
        <v>0</v>
      </c>
      <c r="N53" s="751">
        <v>0</v>
      </c>
      <c r="O53" s="751">
        <v>6</v>
      </c>
      <c r="P53" s="752">
        <v>0</v>
      </c>
      <c r="Q53" s="97">
        <f t="shared" si="11"/>
        <v>683149</v>
      </c>
      <c r="R53" s="751">
        <v>0</v>
      </c>
      <c r="S53" s="752">
        <v>0</v>
      </c>
      <c r="T53" s="751">
        <v>0</v>
      </c>
      <c r="U53" s="751">
        <v>0</v>
      </c>
      <c r="V53" s="751">
        <v>6</v>
      </c>
      <c r="W53" s="752">
        <v>0</v>
      </c>
      <c r="X53" s="97">
        <f t="shared" si="12"/>
        <v>0</v>
      </c>
      <c r="Y53" s="205">
        <f t="shared" si="13"/>
        <v>17.86</v>
      </c>
      <c r="Z53" s="97">
        <f t="shared" si="14"/>
        <v>683149</v>
      </c>
      <c r="AA53" s="97">
        <f t="shared" si="15"/>
        <v>0</v>
      </c>
      <c r="AB53" s="206">
        <f t="shared" si="22"/>
        <v>0</v>
      </c>
      <c r="AC53" s="207">
        <f t="shared" si="23"/>
        <v>16.24</v>
      </c>
      <c r="AD53" s="156">
        <f t="shared" si="24"/>
        <v>16.24</v>
      </c>
      <c r="AE53" s="97">
        <f t="shared" si="16"/>
        <v>683149</v>
      </c>
      <c r="AF53" s="201">
        <v>0.02</v>
      </c>
      <c r="AG53" s="97">
        <v>1369025</v>
      </c>
      <c r="AH53" s="97">
        <v>0</v>
      </c>
      <c r="AI53" s="758">
        <f t="shared" si="17"/>
        <v>1369025</v>
      </c>
      <c r="AJ53" s="97">
        <f>'[6]Table 7 Local Revenue'!AK53</f>
        <v>68406750</v>
      </c>
      <c r="AK53" s="97">
        <f t="shared" si="28"/>
        <v>68451250</v>
      </c>
      <c r="AL53" s="201">
        <f t="shared" si="18"/>
        <v>0.0006505205992098733</v>
      </c>
      <c r="AM53" s="97">
        <f t="shared" si="19"/>
        <v>68451250</v>
      </c>
      <c r="AN53" s="158">
        <f t="shared" si="25"/>
        <v>0.02</v>
      </c>
      <c r="AO53" s="158">
        <f t="shared" si="26"/>
        <v>0</v>
      </c>
      <c r="AP53" s="97">
        <v>33173</v>
      </c>
      <c r="AQ53" s="97">
        <f t="shared" si="27"/>
        <v>2085347</v>
      </c>
      <c r="AR53" s="97">
        <f>ROUND(AQ53/'Table 3 Levels 1&amp;2'!C53,2)</f>
        <v>1829.25</v>
      </c>
    </row>
    <row r="54" spans="1:44" ht="12.75">
      <c r="A54" s="13">
        <v>47</v>
      </c>
      <c r="B54" s="89" t="s">
        <v>348</v>
      </c>
      <c r="C54" s="15">
        <f>'[7]Final'!C55</f>
        <v>348336210</v>
      </c>
      <c r="D54" s="15">
        <f>'[7]Final'!D55</f>
        <v>34736383</v>
      </c>
      <c r="E54" s="15">
        <f t="shared" si="9"/>
        <v>313599827</v>
      </c>
      <c r="F54" s="15">
        <f>'[6]Table 7 Local Revenue'!E54</f>
        <v>300634213</v>
      </c>
      <c r="G54" s="158">
        <f t="shared" si="10"/>
        <v>0.04312753984524043</v>
      </c>
      <c r="H54" s="460">
        <f t="shared" si="21"/>
        <v>313599827</v>
      </c>
      <c r="I54" s="794">
        <v>4.02</v>
      </c>
      <c r="J54" s="748">
        <v>1335708</v>
      </c>
      <c r="K54" s="794">
        <v>31.04</v>
      </c>
      <c r="L54" s="748">
        <v>10418885</v>
      </c>
      <c r="M54" s="747">
        <v>0</v>
      </c>
      <c r="N54" s="747">
        <v>0</v>
      </c>
      <c r="O54" s="747">
        <v>0</v>
      </c>
      <c r="P54" s="748">
        <v>0</v>
      </c>
      <c r="Q54" s="97">
        <f t="shared" si="11"/>
        <v>11754593</v>
      </c>
      <c r="R54" s="747">
        <v>10</v>
      </c>
      <c r="S54" s="748">
        <v>3217234</v>
      </c>
      <c r="T54" s="747">
        <v>0</v>
      </c>
      <c r="U54" s="747">
        <v>0</v>
      </c>
      <c r="V54" s="747">
        <v>0</v>
      </c>
      <c r="W54" s="748">
        <v>0</v>
      </c>
      <c r="X54" s="15">
        <f t="shared" si="12"/>
        <v>3217234</v>
      </c>
      <c r="Y54" s="188">
        <f t="shared" si="13"/>
        <v>45.06</v>
      </c>
      <c r="Z54" s="15">
        <f t="shared" si="14"/>
        <v>14971827</v>
      </c>
      <c r="AA54" s="15">
        <f t="shared" si="15"/>
        <v>0</v>
      </c>
      <c r="AB54" s="189">
        <f t="shared" si="22"/>
        <v>10.26</v>
      </c>
      <c r="AC54" s="190">
        <f t="shared" si="23"/>
        <v>37.48</v>
      </c>
      <c r="AD54" s="156">
        <f t="shared" si="24"/>
        <v>47.74</v>
      </c>
      <c r="AE54" s="97">
        <f t="shared" si="16"/>
        <v>14971827</v>
      </c>
      <c r="AF54" s="201">
        <v>0.025</v>
      </c>
      <c r="AG54" s="97">
        <v>13276314</v>
      </c>
      <c r="AH54" s="97">
        <v>0</v>
      </c>
      <c r="AI54" s="758">
        <f t="shared" si="17"/>
        <v>13276314</v>
      </c>
      <c r="AJ54" s="97">
        <f>'[6]Table 7 Local Revenue'!AK54</f>
        <v>485924040</v>
      </c>
      <c r="AK54" s="97">
        <f t="shared" si="28"/>
        <v>531052560</v>
      </c>
      <c r="AL54" s="201">
        <f t="shared" si="18"/>
        <v>0.09287155251672669</v>
      </c>
      <c r="AM54" s="97">
        <f t="shared" si="19"/>
        <v>531052560</v>
      </c>
      <c r="AN54" s="158">
        <f t="shared" si="25"/>
        <v>0.025</v>
      </c>
      <c r="AO54" s="158">
        <f t="shared" si="26"/>
        <v>0</v>
      </c>
      <c r="AP54" s="97">
        <v>93415</v>
      </c>
      <c r="AQ54" s="97">
        <f t="shared" si="27"/>
        <v>28341556</v>
      </c>
      <c r="AR54" s="97">
        <f>ROUND(AQ54/'Table 3 Levels 1&amp;2'!C54,2)</f>
        <v>7505.71</v>
      </c>
    </row>
    <row r="55" spans="1:44" ht="12.75">
      <c r="A55" s="13">
        <v>48</v>
      </c>
      <c r="B55" s="89" t="s">
        <v>428</v>
      </c>
      <c r="C55" s="15">
        <f>'[7]Final'!C56</f>
        <v>355898302</v>
      </c>
      <c r="D55" s="15">
        <f>'[7]Final'!D56</f>
        <v>80999207</v>
      </c>
      <c r="E55" s="15">
        <f t="shared" si="9"/>
        <v>274899095</v>
      </c>
      <c r="F55" s="15">
        <f>'[6]Table 7 Local Revenue'!E55</f>
        <v>244781537</v>
      </c>
      <c r="G55" s="577">
        <f t="shared" si="10"/>
        <v>0.12303851985372573</v>
      </c>
      <c r="H55" s="461">
        <f t="shared" si="21"/>
        <v>269259690.70000005</v>
      </c>
      <c r="I55" s="794">
        <v>3.73</v>
      </c>
      <c r="J55" s="748">
        <v>970636</v>
      </c>
      <c r="K55" s="794">
        <v>18.1</v>
      </c>
      <c r="L55" s="748">
        <v>4827013</v>
      </c>
      <c r="M55" s="747">
        <v>0</v>
      </c>
      <c r="N55" s="747">
        <v>0</v>
      </c>
      <c r="O55" s="747">
        <v>0</v>
      </c>
      <c r="P55" s="748">
        <v>0</v>
      </c>
      <c r="Q55" s="97">
        <f t="shared" si="11"/>
        <v>5797649</v>
      </c>
      <c r="R55" s="747">
        <v>22</v>
      </c>
      <c r="S55" s="748">
        <v>5844099</v>
      </c>
      <c r="T55" s="747">
        <v>0</v>
      </c>
      <c r="U55" s="747">
        <v>0</v>
      </c>
      <c r="V55" s="747">
        <v>0</v>
      </c>
      <c r="W55" s="748">
        <v>0</v>
      </c>
      <c r="X55" s="15">
        <f t="shared" si="12"/>
        <v>5844099</v>
      </c>
      <c r="Y55" s="188">
        <f t="shared" si="13"/>
        <v>43.83</v>
      </c>
      <c r="Z55" s="15">
        <f t="shared" si="14"/>
        <v>11641748</v>
      </c>
      <c r="AA55" s="15">
        <f t="shared" si="15"/>
        <v>0</v>
      </c>
      <c r="AB55" s="189">
        <f t="shared" si="22"/>
        <v>21.26</v>
      </c>
      <c r="AC55" s="190">
        <f t="shared" si="23"/>
        <v>21.09</v>
      </c>
      <c r="AD55" s="156">
        <f t="shared" si="24"/>
        <v>42.35</v>
      </c>
      <c r="AE55" s="97">
        <f t="shared" si="16"/>
        <v>11641748</v>
      </c>
      <c r="AF55" s="201">
        <v>0.0225</v>
      </c>
      <c r="AG55" s="97">
        <v>22811641</v>
      </c>
      <c r="AH55" s="97">
        <v>0</v>
      </c>
      <c r="AI55" s="758">
        <f t="shared" si="17"/>
        <v>22811641</v>
      </c>
      <c r="AJ55" s="97">
        <f>'[6]Table 7 Local Revenue'!AK55</f>
        <v>813092400</v>
      </c>
      <c r="AK55" s="97">
        <f t="shared" si="28"/>
        <v>1013850711</v>
      </c>
      <c r="AL55" s="579">
        <f t="shared" si="18"/>
        <v>0.24690713011214963</v>
      </c>
      <c r="AM55" s="523">
        <f t="shared" si="19"/>
        <v>935056259.9999999</v>
      </c>
      <c r="AN55" s="158">
        <f t="shared" si="25"/>
        <v>0.022500000002465846</v>
      </c>
      <c r="AO55" s="158">
        <f t="shared" si="26"/>
        <v>0</v>
      </c>
      <c r="AP55" s="97">
        <v>237282</v>
      </c>
      <c r="AQ55" s="97">
        <f t="shared" si="27"/>
        <v>34690671</v>
      </c>
      <c r="AR55" s="97">
        <f>ROUND(AQ55/'Table 3 Levels 1&amp;2'!C55,2)</f>
        <v>5707.58</v>
      </c>
    </row>
    <row r="56" spans="1:44" ht="12.75">
      <c r="A56" s="13">
        <v>49</v>
      </c>
      <c r="B56" s="89" t="s">
        <v>349</v>
      </c>
      <c r="C56" s="15">
        <f>'[7]Final'!C57</f>
        <v>556912400</v>
      </c>
      <c r="D56" s="15">
        <f>'[7]Final'!D57</f>
        <v>109230276</v>
      </c>
      <c r="E56" s="15">
        <f t="shared" si="9"/>
        <v>447682124</v>
      </c>
      <c r="F56" s="15">
        <f>'[6]Table 7 Local Revenue'!E56</f>
        <v>396614150</v>
      </c>
      <c r="G56" s="577">
        <f t="shared" si="10"/>
        <v>0.1287598387500799</v>
      </c>
      <c r="H56" s="461">
        <f t="shared" si="21"/>
        <v>436275565.00000006</v>
      </c>
      <c r="I56" s="794">
        <v>4.45</v>
      </c>
      <c r="J56" s="748">
        <v>1558463</v>
      </c>
      <c r="K56" s="794">
        <v>16.15</v>
      </c>
      <c r="L56" s="748">
        <v>7203176</v>
      </c>
      <c r="M56" s="747">
        <v>0</v>
      </c>
      <c r="N56" s="747">
        <v>0</v>
      </c>
      <c r="O56" s="747">
        <v>0</v>
      </c>
      <c r="P56" s="748">
        <v>0</v>
      </c>
      <c r="Q56" s="97">
        <f t="shared" si="11"/>
        <v>8761639</v>
      </c>
      <c r="R56" s="747">
        <v>0</v>
      </c>
      <c r="S56" s="748">
        <v>16299</v>
      </c>
      <c r="T56" s="747">
        <v>0</v>
      </c>
      <c r="U56" s="747">
        <v>0</v>
      </c>
      <c r="V56" s="747">
        <v>0</v>
      </c>
      <c r="W56" s="748">
        <v>0</v>
      </c>
      <c r="X56" s="15">
        <f t="shared" si="12"/>
        <v>16299</v>
      </c>
      <c r="Y56" s="188">
        <f t="shared" si="13"/>
        <v>20.599999999999998</v>
      </c>
      <c r="Z56" s="15">
        <f t="shared" si="14"/>
        <v>8777938</v>
      </c>
      <c r="AA56" s="15">
        <f t="shared" si="15"/>
        <v>0</v>
      </c>
      <c r="AB56" s="189">
        <f t="shared" si="22"/>
        <v>0.04</v>
      </c>
      <c r="AC56" s="190">
        <f t="shared" si="23"/>
        <v>19.57</v>
      </c>
      <c r="AD56" s="156">
        <f t="shared" si="24"/>
        <v>19.61</v>
      </c>
      <c r="AE56" s="97">
        <f t="shared" si="16"/>
        <v>8777938</v>
      </c>
      <c r="AF56" s="201">
        <v>0.02</v>
      </c>
      <c r="AG56" s="97">
        <v>21370615</v>
      </c>
      <c r="AH56" s="97">
        <v>0</v>
      </c>
      <c r="AI56" s="758">
        <f t="shared" si="17"/>
        <v>21370615</v>
      </c>
      <c r="AJ56" s="97">
        <f>'[6]Table 7 Local Revenue'!AK56</f>
        <v>1095122400</v>
      </c>
      <c r="AK56" s="97">
        <f t="shared" si="28"/>
        <v>1068530750</v>
      </c>
      <c r="AL56" s="201">
        <f t="shared" si="18"/>
        <v>-0.024281897621672245</v>
      </c>
      <c r="AM56" s="97">
        <f t="shared" si="19"/>
        <v>1068530750</v>
      </c>
      <c r="AN56" s="158">
        <f t="shared" si="25"/>
        <v>0.02</v>
      </c>
      <c r="AO56" s="158">
        <f t="shared" si="26"/>
        <v>0</v>
      </c>
      <c r="AP56" s="97">
        <v>671202</v>
      </c>
      <c r="AQ56" s="97">
        <f t="shared" si="27"/>
        <v>30819755</v>
      </c>
      <c r="AR56" s="97">
        <f>ROUND(AQ56/'Table 3 Levels 1&amp;2'!C56,2)</f>
        <v>2130.05</v>
      </c>
    </row>
    <row r="57" spans="1:44" ht="12.75">
      <c r="A57" s="19">
        <v>50</v>
      </c>
      <c r="B57" s="90" t="s">
        <v>350</v>
      </c>
      <c r="C57" s="21">
        <f>'[7]Final'!C58</f>
        <v>241153060</v>
      </c>
      <c r="D57" s="21">
        <f>'[7]Final'!D58</f>
        <v>73880696</v>
      </c>
      <c r="E57" s="21">
        <f t="shared" si="9"/>
        <v>167272364</v>
      </c>
      <c r="F57" s="21">
        <f>'[6]Table 7 Local Revenue'!E57</f>
        <v>155978032</v>
      </c>
      <c r="G57" s="374">
        <f t="shared" si="10"/>
        <v>0.07240976088222474</v>
      </c>
      <c r="H57" s="459">
        <f t="shared" si="21"/>
        <v>167272364</v>
      </c>
      <c r="I57" s="795">
        <v>2.93</v>
      </c>
      <c r="J57" s="750">
        <v>460071</v>
      </c>
      <c r="K57" s="795">
        <v>11.2</v>
      </c>
      <c r="L57" s="750">
        <v>1758648</v>
      </c>
      <c r="M57" s="749">
        <v>0</v>
      </c>
      <c r="N57" s="749">
        <v>0</v>
      </c>
      <c r="O57" s="749">
        <v>0</v>
      </c>
      <c r="P57" s="750">
        <v>0</v>
      </c>
      <c r="Q57" s="98">
        <f t="shared" si="11"/>
        <v>2218719</v>
      </c>
      <c r="R57" s="749">
        <v>22.39</v>
      </c>
      <c r="S57" s="750">
        <v>3515658</v>
      </c>
      <c r="T57" s="749">
        <v>0</v>
      </c>
      <c r="U57" s="749">
        <v>0</v>
      </c>
      <c r="V57" s="749">
        <v>0</v>
      </c>
      <c r="W57" s="750">
        <v>0</v>
      </c>
      <c r="X57" s="21">
        <f t="shared" si="12"/>
        <v>3515658</v>
      </c>
      <c r="Y57" s="191">
        <f t="shared" si="13"/>
        <v>36.519999999999996</v>
      </c>
      <c r="Z57" s="21">
        <f t="shared" si="14"/>
        <v>5734377</v>
      </c>
      <c r="AA57" s="21">
        <f t="shared" si="15"/>
        <v>0</v>
      </c>
      <c r="AB57" s="192">
        <f t="shared" si="22"/>
        <v>21.02</v>
      </c>
      <c r="AC57" s="193">
        <f t="shared" si="23"/>
        <v>13.26</v>
      </c>
      <c r="AD57" s="157">
        <f t="shared" si="24"/>
        <v>34.28</v>
      </c>
      <c r="AE57" s="98">
        <f t="shared" si="16"/>
        <v>5734377</v>
      </c>
      <c r="AF57" s="202">
        <v>0.02</v>
      </c>
      <c r="AG57" s="98">
        <v>12101536</v>
      </c>
      <c r="AH57" s="98">
        <v>0</v>
      </c>
      <c r="AI57" s="759">
        <f t="shared" si="17"/>
        <v>12101536</v>
      </c>
      <c r="AJ57" s="98">
        <f>'[6]Table 7 Local Revenue'!AK57</f>
        <v>596370400</v>
      </c>
      <c r="AK57" s="98">
        <f t="shared" si="28"/>
        <v>605076800</v>
      </c>
      <c r="AL57" s="202">
        <f t="shared" si="18"/>
        <v>0.014598980767657147</v>
      </c>
      <c r="AM57" s="98">
        <f t="shared" si="19"/>
        <v>605076800</v>
      </c>
      <c r="AN57" s="159">
        <f t="shared" si="25"/>
        <v>0.02</v>
      </c>
      <c r="AO57" s="159">
        <f t="shared" si="26"/>
        <v>0</v>
      </c>
      <c r="AP57" s="98">
        <v>602377</v>
      </c>
      <c r="AQ57" s="98">
        <f t="shared" si="27"/>
        <v>18438290</v>
      </c>
      <c r="AR57" s="98">
        <f>ROUND(AQ57/'Table 3 Levels 1&amp;2'!C57,2)</f>
        <v>2316.66</v>
      </c>
    </row>
    <row r="58" spans="1:44" ht="12.75">
      <c r="A58" s="13">
        <v>51</v>
      </c>
      <c r="B58" s="89" t="s">
        <v>351</v>
      </c>
      <c r="C58" s="15">
        <f>'[7]Final'!C59</f>
        <v>441167246</v>
      </c>
      <c r="D58" s="15">
        <f>'[7]Final'!D59</f>
        <v>66791151</v>
      </c>
      <c r="E58" s="15">
        <f t="shared" si="9"/>
        <v>374376095</v>
      </c>
      <c r="F58" s="15">
        <f>'[6]Table 7 Local Revenue'!E58</f>
        <v>327125026</v>
      </c>
      <c r="G58" s="577">
        <f t="shared" si="10"/>
        <v>0.14444345508435666</v>
      </c>
      <c r="H58" s="461">
        <f t="shared" si="21"/>
        <v>359837528.6</v>
      </c>
      <c r="I58" s="794">
        <v>8.6</v>
      </c>
      <c r="J58" s="748">
        <v>3188727</v>
      </c>
      <c r="K58" s="794">
        <v>11.45</v>
      </c>
      <c r="L58" s="748">
        <v>4262267</v>
      </c>
      <c r="M58" s="747">
        <v>11.75</v>
      </c>
      <c r="N58" s="747">
        <v>12.6</v>
      </c>
      <c r="O58" s="747">
        <v>3</v>
      </c>
      <c r="P58" s="748">
        <v>4489493</v>
      </c>
      <c r="Q58" s="97">
        <f t="shared" si="11"/>
        <v>11940487</v>
      </c>
      <c r="R58" s="747">
        <v>0</v>
      </c>
      <c r="S58" s="748">
        <v>0</v>
      </c>
      <c r="T58" s="747">
        <v>8.9</v>
      </c>
      <c r="U58" s="747">
        <v>23.3</v>
      </c>
      <c r="V58" s="747">
        <v>2</v>
      </c>
      <c r="W58" s="748">
        <v>2386224</v>
      </c>
      <c r="X58" s="15">
        <f t="shared" si="12"/>
        <v>2386224</v>
      </c>
      <c r="Y58" s="188">
        <f t="shared" si="13"/>
        <v>20.049999999999997</v>
      </c>
      <c r="Z58" s="15">
        <f t="shared" si="14"/>
        <v>7450994</v>
      </c>
      <c r="AA58" s="15">
        <f t="shared" si="15"/>
        <v>6875717</v>
      </c>
      <c r="AB58" s="189">
        <f t="shared" si="22"/>
        <v>6.37</v>
      </c>
      <c r="AC58" s="190">
        <f t="shared" si="23"/>
        <v>31.89</v>
      </c>
      <c r="AD58" s="156">
        <f t="shared" si="24"/>
        <v>38.27</v>
      </c>
      <c r="AE58" s="97">
        <f t="shared" si="16"/>
        <v>14326711</v>
      </c>
      <c r="AF58" s="201">
        <v>0.0175</v>
      </c>
      <c r="AG58" s="97">
        <v>18099713</v>
      </c>
      <c r="AH58" s="97">
        <v>0</v>
      </c>
      <c r="AI58" s="758">
        <f t="shared" si="17"/>
        <v>18099713</v>
      </c>
      <c r="AJ58" s="97">
        <f>'[6]Table 7 Local Revenue'!AK58</f>
        <v>1010433600</v>
      </c>
      <c r="AK58" s="97">
        <f t="shared" si="28"/>
        <v>1034269314</v>
      </c>
      <c r="AL58" s="201">
        <f t="shared" si="18"/>
        <v>0.023589589657351064</v>
      </c>
      <c r="AM58" s="97">
        <f t="shared" si="19"/>
        <v>1034269314</v>
      </c>
      <c r="AN58" s="158">
        <f t="shared" si="25"/>
        <v>0.017500000004834333</v>
      </c>
      <c r="AO58" s="158">
        <f t="shared" si="26"/>
        <v>0</v>
      </c>
      <c r="AP58" s="97">
        <v>836895</v>
      </c>
      <c r="AQ58" s="97">
        <f t="shared" si="27"/>
        <v>33263319</v>
      </c>
      <c r="AR58" s="97">
        <f>ROUND(AQ58/'Table 3 Levels 1&amp;2'!C58,2)</f>
        <v>3638.91</v>
      </c>
    </row>
    <row r="59" spans="1:44" ht="12.75">
      <c r="A59" s="13">
        <v>52</v>
      </c>
      <c r="B59" s="89" t="s">
        <v>352</v>
      </c>
      <c r="C59" s="15">
        <f>'[7]Final'!C60</f>
        <v>1529956991</v>
      </c>
      <c r="D59" s="15">
        <f>'[7]Final'!D60</f>
        <v>437214926</v>
      </c>
      <c r="E59" s="15">
        <f t="shared" si="9"/>
        <v>1092742065</v>
      </c>
      <c r="F59" s="15">
        <f>'[6]Table 7 Local Revenue'!E59</f>
        <v>972743530</v>
      </c>
      <c r="G59" s="577">
        <f t="shared" si="10"/>
        <v>0.12336091816514061</v>
      </c>
      <c r="H59" s="461">
        <f t="shared" si="21"/>
        <v>1070017883.0000001</v>
      </c>
      <c r="I59" s="794">
        <v>4.47</v>
      </c>
      <c r="J59" s="748">
        <v>4758024</v>
      </c>
      <c r="K59" s="794">
        <v>51.47</v>
      </c>
      <c r="L59" s="748">
        <v>54973054</v>
      </c>
      <c r="M59" s="747">
        <v>51.47</v>
      </c>
      <c r="N59" s="747">
        <v>51.47</v>
      </c>
      <c r="O59" s="747">
        <v>0</v>
      </c>
      <c r="P59" s="748">
        <v>0</v>
      </c>
      <c r="Q59" s="97">
        <f t="shared" si="11"/>
        <v>59731078</v>
      </c>
      <c r="R59" s="747">
        <v>21.9</v>
      </c>
      <c r="S59" s="748">
        <v>23317376</v>
      </c>
      <c r="T59" s="747">
        <v>21.9</v>
      </c>
      <c r="U59" s="747">
        <v>21.9</v>
      </c>
      <c r="V59" s="747">
        <v>0</v>
      </c>
      <c r="W59" s="748">
        <v>0</v>
      </c>
      <c r="X59" s="15">
        <f t="shared" si="12"/>
        <v>23317376</v>
      </c>
      <c r="Y59" s="188">
        <f t="shared" si="13"/>
        <v>77.84</v>
      </c>
      <c r="Z59" s="15">
        <f t="shared" si="14"/>
        <v>83048454</v>
      </c>
      <c r="AA59" s="15">
        <f t="shared" si="15"/>
        <v>0</v>
      </c>
      <c r="AB59" s="189">
        <f t="shared" si="22"/>
        <v>21.34</v>
      </c>
      <c r="AC59" s="190">
        <f t="shared" si="23"/>
        <v>54.66</v>
      </c>
      <c r="AD59" s="156">
        <f t="shared" si="24"/>
        <v>76</v>
      </c>
      <c r="AE59" s="97">
        <f t="shared" si="16"/>
        <v>83048454</v>
      </c>
      <c r="AF59" s="201">
        <v>0.02</v>
      </c>
      <c r="AG59" s="97">
        <v>93281813</v>
      </c>
      <c r="AH59" s="97">
        <v>0</v>
      </c>
      <c r="AI59" s="758">
        <f t="shared" si="17"/>
        <v>93281813</v>
      </c>
      <c r="AJ59" s="97">
        <f>'[6]Table 7 Local Revenue'!AK59</f>
        <v>4483568550</v>
      </c>
      <c r="AK59" s="97">
        <f t="shared" si="28"/>
        <v>4664090650</v>
      </c>
      <c r="AL59" s="201">
        <f t="shared" si="18"/>
        <v>0.04026304002868429</v>
      </c>
      <c r="AM59" s="97">
        <f t="shared" si="19"/>
        <v>4664090650</v>
      </c>
      <c r="AN59" s="158">
        <f t="shared" si="25"/>
        <v>0.02</v>
      </c>
      <c r="AO59" s="158">
        <f t="shared" si="26"/>
        <v>0</v>
      </c>
      <c r="AP59" s="97">
        <v>2086894</v>
      </c>
      <c r="AQ59" s="97">
        <f t="shared" si="27"/>
        <v>178417161</v>
      </c>
      <c r="AR59" s="97">
        <f>ROUND(AQ59/'Table 3 Levels 1&amp;2'!C59,2)</f>
        <v>5119.13</v>
      </c>
    </row>
    <row r="60" spans="1:44" ht="12.75">
      <c r="A60" s="13">
        <v>53</v>
      </c>
      <c r="B60" s="89" t="s">
        <v>353</v>
      </c>
      <c r="C60" s="15">
        <f>'[7]Final'!C61</f>
        <v>537209968</v>
      </c>
      <c r="D60" s="15">
        <f>'[7]Final'!D61</f>
        <v>161992126</v>
      </c>
      <c r="E60" s="15">
        <f t="shared" si="9"/>
        <v>375217842</v>
      </c>
      <c r="F60" s="15">
        <f>'[6]Table 7 Local Revenue'!E60</f>
        <v>342774659</v>
      </c>
      <c r="G60" s="17">
        <f t="shared" si="10"/>
        <v>0.094648720808734</v>
      </c>
      <c r="H60" s="458">
        <f t="shared" si="21"/>
        <v>375217842</v>
      </c>
      <c r="I60" s="794">
        <v>4.06</v>
      </c>
      <c r="J60" s="748">
        <v>1539208</v>
      </c>
      <c r="K60" s="794">
        <v>0</v>
      </c>
      <c r="L60" s="748">
        <v>0</v>
      </c>
      <c r="M60" s="747">
        <v>0</v>
      </c>
      <c r="N60" s="747">
        <v>9</v>
      </c>
      <c r="O60" s="747">
        <v>1</v>
      </c>
      <c r="P60" s="748">
        <v>1699445</v>
      </c>
      <c r="Q60" s="97">
        <f t="shared" si="11"/>
        <v>3238653</v>
      </c>
      <c r="R60" s="747">
        <v>0</v>
      </c>
      <c r="S60" s="748">
        <v>0</v>
      </c>
      <c r="T60" s="747">
        <v>5</v>
      </c>
      <c r="U60" s="747">
        <v>25</v>
      </c>
      <c r="V60" s="747">
        <v>7</v>
      </c>
      <c r="W60" s="748">
        <v>2341228</v>
      </c>
      <c r="X60" s="15">
        <f t="shared" si="12"/>
        <v>2341228</v>
      </c>
      <c r="Y60" s="188">
        <f t="shared" si="13"/>
        <v>4.06</v>
      </c>
      <c r="Z60" s="15">
        <f t="shared" si="14"/>
        <v>1539208</v>
      </c>
      <c r="AA60" s="15">
        <f t="shared" si="15"/>
        <v>4040673</v>
      </c>
      <c r="AB60" s="189">
        <f t="shared" si="22"/>
        <v>6.24</v>
      </c>
      <c r="AC60" s="190">
        <f t="shared" si="23"/>
        <v>8.63</v>
      </c>
      <c r="AD60" s="156">
        <f t="shared" si="24"/>
        <v>14.87</v>
      </c>
      <c r="AE60" s="97">
        <f t="shared" si="16"/>
        <v>5579881</v>
      </c>
      <c r="AF60" s="201">
        <v>0.02</v>
      </c>
      <c r="AG60" s="97">
        <v>28415023</v>
      </c>
      <c r="AH60" s="97">
        <v>4528468</v>
      </c>
      <c r="AI60" s="758">
        <f t="shared" si="17"/>
        <v>32943491</v>
      </c>
      <c r="AJ60" s="97">
        <f>'[6]Table 7 Local Revenue'!AK60</f>
        <v>1658400750</v>
      </c>
      <c r="AK60" s="97">
        <f t="shared" si="28"/>
        <v>1647174550</v>
      </c>
      <c r="AL60" s="201">
        <f t="shared" si="18"/>
        <v>-0.006769292645339192</v>
      </c>
      <c r="AM60" s="97">
        <f t="shared" si="19"/>
        <v>1647174550</v>
      </c>
      <c r="AN60" s="158">
        <f t="shared" si="25"/>
        <v>0.01725076616804212</v>
      </c>
      <c r="AO60" s="158">
        <f t="shared" si="26"/>
        <v>0.002749233831957882</v>
      </c>
      <c r="AP60" s="97">
        <v>212891</v>
      </c>
      <c r="AQ60" s="97">
        <f t="shared" si="27"/>
        <v>38736263</v>
      </c>
      <c r="AR60" s="97">
        <f>ROUND(AQ60/'Table 3 Levels 1&amp;2'!C60,2)</f>
        <v>2082.93</v>
      </c>
    </row>
    <row r="61" spans="1:44" ht="12.75">
      <c r="A61" s="13">
        <v>54</v>
      </c>
      <c r="B61" s="89" t="s">
        <v>354</v>
      </c>
      <c r="C61" s="15">
        <f>'[7]Final'!C62</f>
        <v>46381830</v>
      </c>
      <c r="D61" s="15">
        <f>'[7]Final'!D62</f>
        <v>6014366</v>
      </c>
      <c r="E61" s="15">
        <f t="shared" si="9"/>
        <v>40367464</v>
      </c>
      <c r="F61" s="15">
        <f>'[6]Table 7 Local Revenue'!E61</f>
        <v>38963956</v>
      </c>
      <c r="G61" s="17">
        <f t="shared" si="10"/>
        <v>0.03602067510804088</v>
      </c>
      <c r="H61" s="458">
        <f t="shared" si="21"/>
        <v>40367464</v>
      </c>
      <c r="I61" s="794">
        <v>4.45</v>
      </c>
      <c r="J61" s="748">
        <v>173622</v>
      </c>
      <c r="K61" s="794">
        <v>29.28</v>
      </c>
      <c r="L61" s="748">
        <v>1142394</v>
      </c>
      <c r="M61" s="747">
        <v>0</v>
      </c>
      <c r="N61" s="747">
        <v>0</v>
      </c>
      <c r="O61" s="747">
        <v>0</v>
      </c>
      <c r="P61" s="748">
        <v>0</v>
      </c>
      <c r="Q61" s="97">
        <f t="shared" si="11"/>
        <v>1316016</v>
      </c>
      <c r="R61" s="747">
        <v>0</v>
      </c>
      <c r="S61" s="748">
        <v>0</v>
      </c>
      <c r="T61" s="747">
        <v>0</v>
      </c>
      <c r="U61" s="747">
        <v>0</v>
      </c>
      <c r="V61" s="747">
        <v>0</v>
      </c>
      <c r="W61" s="748">
        <v>0</v>
      </c>
      <c r="X61" s="15">
        <f t="shared" si="12"/>
        <v>0</v>
      </c>
      <c r="Y61" s="188">
        <f t="shared" si="13"/>
        <v>33.730000000000004</v>
      </c>
      <c r="Z61" s="15">
        <f t="shared" si="14"/>
        <v>1316016</v>
      </c>
      <c r="AA61" s="15">
        <f t="shared" si="15"/>
        <v>0</v>
      </c>
      <c r="AB61" s="189">
        <f t="shared" si="22"/>
        <v>0</v>
      </c>
      <c r="AC61" s="190">
        <f t="shared" si="23"/>
        <v>32.6</v>
      </c>
      <c r="AD61" s="156">
        <f t="shared" si="24"/>
        <v>32.6</v>
      </c>
      <c r="AE61" s="97">
        <f t="shared" si="16"/>
        <v>1316016</v>
      </c>
      <c r="AF61" s="201">
        <v>0.015</v>
      </c>
      <c r="AG61" s="97">
        <v>718613</v>
      </c>
      <c r="AH61" s="97">
        <v>0</v>
      </c>
      <c r="AI61" s="758">
        <f t="shared" si="17"/>
        <v>718613</v>
      </c>
      <c r="AJ61" s="97">
        <f>'[6]Table 7 Local Revenue'!AK61</f>
        <v>43956933</v>
      </c>
      <c r="AK61" s="97">
        <f t="shared" si="28"/>
        <v>47907533</v>
      </c>
      <c r="AL61" s="201">
        <f t="shared" si="18"/>
        <v>0.08987433222422501</v>
      </c>
      <c r="AM61" s="97">
        <f t="shared" si="19"/>
        <v>47907533</v>
      </c>
      <c r="AN61" s="158">
        <f t="shared" si="25"/>
        <v>0.01500000010436772</v>
      </c>
      <c r="AO61" s="158">
        <f t="shared" si="26"/>
        <v>0</v>
      </c>
      <c r="AP61" s="97">
        <v>73144</v>
      </c>
      <c r="AQ61" s="97">
        <f t="shared" si="27"/>
        <v>2107773</v>
      </c>
      <c r="AR61" s="97">
        <f>ROUND(AQ61/'Table 3 Levels 1&amp;2'!C61,2)</f>
        <v>2943.82</v>
      </c>
    </row>
    <row r="62" spans="1:44" ht="12.75">
      <c r="A62" s="19">
        <v>55</v>
      </c>
      <c r="B62" s="90" t="s">
        <v>355</v>
      </c>
      <c r="C62" s="21">
        <f>'[7]Final'!C63</f>
        <v>761386595</v>
      </c>
      <c r="D62" s="21">
        <f>'[7]Final'!D63</f>
        <v>164226815</v>
      </c>
      <c r="E62" s="21">
        <f t="shared" si="9"/>
        <v>597159780</v>
      </c>
      <c r="F62" s="21">
        <f>'[6]Table 7 Local Revenue'!E62</f>
        <v>532633035</v>
      </c>
      <c r="G62" s="578">
        <f t="shared" si="10"/>
        <v>0.12114671971106711</v>
      </c>
      <c r="H62" s="462">
        <f t="shared" si="21"/>
        <v>585896338.5</v>
      </c>
      <c r="I62" s="795">
        <v>3.86</v>
      </c>
      <c r="J62" s="750">
        <v>2302638</v>
      </c>
      <c r="K62" s="795">
        <v>5.41</v>
      </c>
      <c r="L62" s="750">
        <v>3227162</v>
      </c>
      <c r="M62" s="749">
        <v>0</v>
      </c>
      <c r="N62" s="749">
        <v>0</v>
      </c>
      <c r="O62" s="749">
        <v>0</v>
      </c>
      <c r="P62" s="750">
        <v>0</v>
      </c>
      <c r="Q62" s="98">
        <f t="shared" si="11"/>
        <v>5529800</v>
      </c>
      <c r="R62" s="749">
        <v>0</v>
      </c>
      <c r="S62" s="750">
        <v>5</v>
      </c>
      <c r="T62" s="749">
        <v>0</v>
      </c>
      <c r="U62" s="749">
        <v>0</v>
      </c>
      <c r="V62" s="749">
        <v>0</v>
      </c>
      <c r="W62" s="750">
        <v>0</v>
      </c>
      <c r="X62" s="21">
        <f t="shared" si="12"/>
        <v>5</v>
      </c>
      <c r="Y62" s="191">
        <f t="shared" si="13"/>
        <v>9.27</v>
      </c>
      <c r="Z62" s="21">
        <f t="shared" si="14"/>
        <v>5529805</v>
      </c>
      <c r="AA62" s="21">
        <f t="shared" si="15"/>
        <v>0</v>
      </c>
      <c r="AB62" s="192">
        <f t="shared" si="22"/>
        <v>0</v>
      </c>
      <c r="AC62" s="193">
        <f t="shared" si="23"/>
        <v>9.26</v>
      </c>
      <c r="AD62" s="157">
        <f t="shared" si="24"/>
        <v>9.26</v>
      </c>
      <c r="AE62" s="98">
        <f t="shared" si="16"/>
        <v>5529805</v>
      </c>
      <c r="AF62" s="202">
        <v>0.0208</v>
      </c>
      <c r="AG62" s="98">
        <v>50681690</v>
      </c>
      <c r="AH62" s="98">
        <v>0</v>
      </c>
      <c r="AI62" s="759">
        <f t="shared" si="17"/>
        <v>50681690</v>
      </c>
      <c r="AJ62" s="98">
        <f>'[6]Table 7 Local Revenue'!AK62</f>
        <v>2427415481</v>
      </c>
      <c r="AK62" s="98">
        <f t="shared" si="28"/>
        <v>2436619712</v>
      </c>
      <c r="AL62" s="202">
        <f t="shared" si="18"/>
        <v>0.0037917822770942443</v>
      </c>
      <c r="AM62" s="98">
        <f t="shared" si="19"/>
        <v>2436619712</v>
      </c>
      <c r="AN62" s="159">
        <f t="shared" si="25"/>
        <v>0.020799999996060116</v>
      </c>
      <c r="AO62" s="159">
        <f t="shared" si="26"/>
        <v>0</v>
      </c>
      <c r="AP62" s="98">
        <v>1190430</v>
      </c>
      <c r="AQ62" s="98">
        <f t="shared" si="27"/>
        <v>57401925</v>
      </c>
      <c r="AR62" s="98">
        <f>ROUND(AQ62/'Table 3 Levels 1&amp;2'!C62,2)</f>
        <v>3197.34</v>
      </c>
    </row>
    <row r="63" spans="1:44" ht="12.75">
      <c r="A63" s="13">
        <v>56</v>
      </c>
      <c r="B63" s="89" t="s">
        <v>356</v>
      </c>
      <c r="C63" s="15">
        <f>'[7]Final'!C64</f>
        <v>124075340</v>
      </c>
      <c r="D63" s="15">
        <f>'[7]Final'!D64</f>
        <v>32111338</v>
      </c>
      <c r="E63" s="15">
        <f t="shared" si="9"/>
        <v>91964002</v>
      </c>
      <c r="F63" s="15">
        <f>'[6]Table 7 Local Revenue'!E63</f>
        <v>88924301</v>
      </c>
      <c r="G63" s="17">
        <f t="shared" si="10"/>
        <v>0.0341830182055634</v>
      </c>
      <c r="H63" s="458">
        <f t="shared" si="21"/>
        <v>91964002</v>
      </c>
      <c r="I63" s="794">
        <v>3.27</v>
      </c>
      <c r="J63" s="748">
        <v>309989</v>
      </c>
      <c r="K63" s="794">
        <v>17.98</v>
      </c>
      <c r="L63" s="748">
        <v>1637388</v>
      </c>
      <c r="M63" s="747">
        <v>1.56</v>
      </c>
      <c r="N63" s="747">
        <v>1.64</v>
      </c>
      <c r="O63" s="747">
        <v>9</v>
      </c>
      <c r="P63" s="748">
        <v>151057</v>
      </c>
      <c r="Q63" s="97">
        <f t="shared" si="11"/>
        <v>2098434</v>
      </c>
      <c r="R63" s="747"/>
      <c r="S63" s="748"/>
      <c r="T63" s="747"/>
      <c r="U63" s="747"/>
      <c r="V63" s="747"/>
      <c r="W63" s="748"/>
      <c r="X63" s="15">
        <f t="shared" si="12"/>
        <v>0</v>
      </c>
      <c r="Y63" s="188">
        <f t="shared" si="13"/>
        <v>21.25</v>
      </c>
      <c r="Z63" s="15">
        <f t="shared" si="14"/>
        <v>1947377</v>
      </c>
      <c r="AA63" s="15">
        <f t="shared" si="15"/>
        <v>151057</v>
      </c>
      <c r="AB63" s="189">
        <f t="shared" si="22"/>
        <v>0</v>
      </c>
      <c r="AC63" s="190">
        <f t="shared" si="23"/>
        <v>22.82</v>
      </c>
      <c r="AD63" s="156">
        <f t="shared" si="24"/>
        <v>22.82</v>
      </c>
      <c r="AE63" s="97">
        <f t="shared" si="16"/>
        <v>2098434</v>
      </c>
      <c r="AF63" s="201">
        <v>0.02</v>
      </c>
      <c r="AG63" s="97">
        <v>4441126</v>
      </c>
      <c r="AH63" s="97">
        <v>0</v>
      </c>
      <c r="AI63" s="758">
        <f t="shared" si="17"/>
        <v>4441126</v>
      </c>
      <c r="AJ63" s="97">
        <f>'[6]Table 7 Local Revenue'!AK63</f>
        <v>213936400</v>
      </c>
      <c r="AK63" s="97">
        <f t="shared" si="28"/>
        <v>222056300</v>
      </c>
      <c r="AL63" s="201">
        <f t="shared" si="18"/>
        <v>0.03795473795015715</v>
      </c>
      <c r="AM63" s="97">
        <f t="shared" si="19"/>
        <v>222056300</v>
      </c>
      <c r="AN63" s="158">
        <f t="shared" si="25"/>
        <v>0.02</v>
      </c>
      <c r="AO63" s="158">
        <f t="shared" si="26"/>
        <v>0</v>
      </c>
      <c r="AP63" s="97">
        <v>177725</v>
      </c>
      <c r="AQ63" s="97">
        <f t="shared" si="27"/>
        <v>6717285</v>
      </c>
      <c r="AR63" s="97">
        <f>ROUND(AQ63/'Table 3 Levels 1&amp;2'!C63,2)</f>
        <v>2405.04</v>
      </c>
    </row>
    <row r="64" spans="1:44" ht="12.75">
      <c r="A64" s="13">
        <v>57</v>
      </c>
      <c r="B64" s="89" t="s">
        <v>357</v>
      </c>
      <c r="C64" s="15">
        <f>'[7]Final'!C65</f>
        <v>331239570</v>
      </c>
      <c r="D64" s="15">
        <f>'[7]Final'!D65</f>
        <v>81455300</v>
      </c>
      <c r="E64" s="15">
        <f t="shared" si="9"/>
        <v>249784270</v>
      </c>
      <c r="F64" s="15">
        <f>'[6]Table 7 Local Revenue'!E64</f>
        <v>232851550</v>
      </c>
      <c r="G64" s="17">
        <f t="shared" si="10"/>
        <v>0.07271894904715043</v>
      </c>
      <c r="H64" s="458">
        <f t="shared" si="21"/>
        <v>249784270</v>
      </c>
      <c r="I64" s="794">
        <v>4.51</v>
      </c>
      <c r="J64" s="748">
        <v>1105796</v>
      </c>
      <c r="K64" s="794">
        <v>35</v>
      </c>
      <c r="L64" s="748">
        <v>8583933</v>
      </c>
      <c r="M64" s="747">
        <v>0</v>
      </c>
      <c r="N64" s="747">
        <v>0</v>
      </c>
      <c r="O64" s="747">
        <v>0</v>
      </c>
      <c r="P64" s="748">
        <v>0</v>
      </c>
      <c r="Q64" s="97">
        <f t="shared" si="11"/>
        <v>9689729</v>
      </c>
      <c r="R64" s="747">
        <v>0</v>
      </c>
      <c r="S64" s="748">
        <v>0</v>
      </c>
      <c r="T64" s="747">
        <v>0</v>
      </c>
      <c r="U64" s="747">
        <v>0</v>
      </c>
      <c r="V64" s="747">
        <v>0</v>
      </c>
      <c r="W64" s="748">
        <v>0</v>
      </c>
      <c r="X64" s="15">
        <f t="shared" si="12"/>
        <v>0</v>
      </c>
      <c r="Y64" s="188">
        <f t="shared" si="13"/>
        <v>39.51</v>
      </c>
      <c r="Z64" s="15">
        <f t="shared" si="14"/>
        <v>9689729</v>
      </c>
      <c r="AA64" s="15">
        <f t="shared" si="15"/>
        <v>0</v>
      </c>
      <c r="AB64" s="189">
        <f t="shared" si="22"/>
        <v>0</v>
      </c>
      <c r="AC64" s="190">
        <f t="shared" si="23"/>
        <v>38.79</v>
      </c>
      <c r="AD64" s="156">
        <f t="shared" si="24"/>
        <v>38.79</v>
      </c>
      <c r="AE64" s="97">
        <f t="shared" si="16"/>
        <v>9689729</v>
      </c>
      <c r="AF64" s="201">
        <v>0.01</v>
      </c>
      <c r="AG64" s="97">
        <v>8340650</v>
      </c>
      <c r="AH64" s="97">
        <v>0</v>
      </c>
      <c r="AI64" s="758">
        <f t="shared" si="17"/>
        <v>8340650</v>
      </c>
      <c r="AJ64" s="97">
        <f>'[6]Table 7 Local Revenue'!AK64</f>
        <v>822115400</v>
      </c>
      <c r="AK64" s="97">
        <f t="shared" si="28"/>
        <v>834065000</v>
      </c>
      <c r="AL64" s="201">
        <f t="shared" si="18"/>
        <v>0.014535185692908806</v>
      </c>
      <c r="AM64" s="97">
        <f t="shared" si="19"/>
        <v>834065000</v>
      </c>
      <c r="AN64" s="158">
        <f t="shared" si="25"/>
        <v>0.01</v>
      </c>
      <c r="AO64" s="158">
        <f t="shared" si="26"/>
        <v>0</v>
      </c>
      <c r="AP64" s="97">
        <v>4580113</v>
      </c>
      <c r="AQ64" s="97">
        <f t="shared" si="27"/>
        <v>22610492</v>
      </c>
      <c r="AR64" s="97">
        <f>ROUND(AQ64/'Table 3 Levels 1&amp;2'!C64,2)</f>
        <v>2635.87</v>
      </c>
    </row>
    <row r="65" spans="1:44" ht="12.75">
      <c r="A65" s="13">
        <v>58</v>
      </c>
      <c r="B65" s="89" t="s">
        <v>358</v>
      </c>
      <c r="C65" s="15">
        <f>'[7]Final'!C66</f>
        <v>144997760</v>
      </c>
      <c r="D65" s="15">
        <f>'[7]Final'!D66</f>
        <v>40805178</v>
      </c>
      <c r="E65" s="15">
        <f t="shared" si="9"/>
        <v>104192582</v>
      </c>
      <c r="F65" s="15">
        <f>'[6]Table 7 Local Revenue'!E65</f>
        <v>106578077</v>
      </c>
      <c r="G65" s="158">
        <f t="shared" si="10"/>
        <v>-0.022382605007969885</v>
      </c>
      <c r="H65" s="460">
        <f t="shared" si="21"/>
        <v>104192582</v>
      </c>
      <c r="I65" s="794">
        <v>3.84</v>
      </c>
      <c r="J65" s="748">
        <v>392368</v>
      </c>
      <c r="K65" s="794">
        <v>7.44</v>
      </c>
      <c r="L65" s="748">
        <v>760216</v>
      </c>
      <c r="M65" s="747">
        <v>10</v>
      </c>
      <c r="N65" s="747">
        <v>17.64</v>
      </c>
      <c r="O65" s="747">
        <v>9</v>
      </c>
      <c r="P65" s="748">
        <v>1446673</v>
      </c>
      <c r="Q65" s="97">
        <f t="shared" si="11"/>
        <v>2599257</v>
      </c>
      <c r="R65" s="747">
        <v>0</v>
      </c>
      <c r="S65" s="748">
        <v>0</v>
      </c>
      <c r="T65" s="747">
        <v>8.93</v>
      </c>
      <c r="U65" s="747">
        <v>87.99</v>
      </c>
      <c r="V65" s="747">
        <v>9</v>
      </c>
      <c r="W65" s="748">
        <v>2403963</v>
      </c>
      <c r="X65" s="15">
        <f t="shared" si="12"/>
        <v>2403963</v>
      </c>
      <c r="Y65" s="188">
        <f t="shared" si="13"/>
        <v>11.280000000000001</v>
      </c>
      <c r="Z65" s="15">
        <f t="shared" si="14"/>
        <v>1152584</v>
      </c>
      <c r="AA65" s="15">
        <f t="shared" si="15"/>
        <v>3850636</v>
      </c>
      <c r="AB65" s="189">
        <f t="shared" si="22"/>
        <v>23.07</v>
      </c>
      <c r="AC65" s="190">
        <f t="shared" si="23"/>
        <v>24.95</v>
      </c>
      <c r="AD65" s="156">
        <f t="shared" si="24"/>
        <v>48.02</v>
      </c>
      <c r="AE65" s="97">
        <f t="shared" si="16"/>
        <v>5003220</v>
      </c>
      <c r="AF65" s="201">
        <v>0.02</v>
      </c>
      <c r="AG65" s="97">
        <v>9610440</v>
      </c>
      <c r="AH65" s="97">
        <v>0</v>
      </c>
      <c r="AI65" s="758">
        <f t="shared" si="17"/>
        <v>9610440</v>
      </c>
      <c r="AJ65" s="97">
        <f>'[6]Table 7 Local Revenue'!AK65</f>
        <v>488374000</v>
      </c>
      <c r="AK65" s="97">
        <f t="shared" si="28"/>
        <v>480522000</v>
      </c>
      <c r="AL65" s="201">
        <f t="shared" si="18"/>
        <v>-0.01607784198175988</v>
      </c>
      <c r="AM65" s="97">
        <f t="shared" si="19"/>
        <v>480522000</v>
      </c>
      <c r="AN65" s="158">
        <f t="shared" si="25"/>
        <v>0.02</v>
      </c>
      <c r="AO65" s="158">
        <f t="shared" si="26"/>
        <v>0</v>
      </c>
      <c r="AP65" s="97">
        <v>565421</v>
      </c>
      <c r="AQ65" s="97">
        <f t="shared" si="27"/>
        <v>15179081</v>
      </c>
      <c r="AR65" s="97">
        <f>ROUND(AQ65/'Table 3 Levels 1&amp;2'!C65,2)</f>
        <v>1666.75</v>
      </c>
    </row>
    <row r="66" spans="1:44" ht="12.75">
      <c r="A66" s="13">
        <v>59</v>
      </c>
      <c r="B66" s="89" t="s">
        <v>359</v>
      </c>
      <c r="C66" s="15">
        <f>'[7]Final'!C67</f>
        <v>106274730</v>
      </c>
      <c r="D66" s="15">
        <f>'[7]Final'!D67</f>
        <v>36835600</v>
      </c>
      <c r="E66" s="15">
        <f t="shared" si="9"/>
        <v>69439130</v>
      </c>
      <c r="F66" s="15">
        <f>'[6]Table 7 Local Revenue'!E66</f>
        <v>63134065</v>
      </c>
      <c r="G66" s="17">
        <f t="shared" si="10"/>
        <v>0.0998678763992149</v>
      </c>
      <c r="H66" s="458">
        <f t="shared" si="21"/>
        <v>69439130</v>
      </c>
      <c r="I66" s="794">
        <v>3.91</v>
      </c>
      <c r="J66" s="748">
        <v>244352</v>
      </c>
      <c r="K66" s="794">
        <v>15.07</v>
      </c>
      <c r="L66" s="748">
        <v>941787</v>
      </c>
      <c r="M66" s="747">
        <v>5.12</v>
      </c>
      <c r="N66" s="747">
        <v>5.12</v>
      </c>
      <c r="O66" s="747">
        <v>1</v>
      </c>
      <c r="P66" s="748">
        <v>18580</v>
      </c>
      <c r="Q66" s="97">
        <f t="shared" si="11"/>
        <v>1204719</v>
      </c>
      <c r="R66" s="747">
        <v>0</v>
      </c>
      <c r="S66" s="748">
        <v>0</v>
      </c>
      <c r="T66" s="747">
        <v>22.5</v>
      </c>
      <c r="U66" s="747">
        <v>43</v>
      </c>
      <c r="V66" s="747">
        <v>3</v>
      </c>
      <c r="W66" s="748">
        <v>2378308</v>
      </c>
      <c r="X66" s="15">
        <f t="shared" si="12"/>
        <v>2378308</v>
      </c>
      <c r="Y66" s="188">
        <f t="shared" si="13"/>
        <v>18.98</v>
      </c>
      <c r="Z66" s="15">
        <f t="shared" si="14"/>
        <v>1186139</v>
      </c>
      <c r="AA66" s="15">
        <f t="shared" si="15"/>
        <v>2396888</v>
      </c>
      <c r="AB66" s="189">
        <f t="shared" si="22"/>
        <v>34.25</v>
      </c>
      <c r="AC66" s="190">
        <f t="shared" si="23"/>
        <v>17.35</v>
      </c>
      <c r="AD66" s="156">
        <f t="shared" si="24"/>
        <v>51.6</v>
      </c>
      <c r="AE66" s="97">
        <f t="shared" si="16"/>
        <v>3583027</v>
      </c>
      <c r="AF66" s="201">
        <v>0.02</v>
      </c>
      <c r="AG66" s="97">
        <v>4648127</v>
      </c>
      <c r="AH66" s="97">
        <v>0</v>
      </c>
      <c r="AI66" s="758">
        <f t="shared" si="17"/>
        <v>4648127</v>
      </c>
      <c r="AJ66" s="97">
        <f>'[6]Table 7 Local Revenue'!AK66</f>
        <v>232986600</v>
      </c>
      <c r="AK66" s="97">
        <f t="shared" si="28"/>
        <v>232406350</v>
      </c>
      <c r="AL66" s="201">
        <f t="shared" si="18"/>
        <v>-0.002490486577339641</v>
      </c>
      <c r="AM66" s="97">
        <f t="shared" si="19"/>
        <v>232406350</v>
      </c>
      <c r="AN66" s="158">
        <f t="shared" si="25"/>
        <v>0.02</v>
      </c>
      <c r="AO66" s="158">
        <f t="shared" si="26"/>
        <v>0</v>
      </c>
      <c r="AP66" s="97">
        <v>158127</v>
      </c>
      <c r="AQ66" s="97">
        <f t="shared" si="27"/>
        <v>8389281</v>
      </c>
      <c r="AR66" s="97">
        <f>ROUND(AQ66/'Table 3 Levels 1&amp;2'!C66,2)</f>
        <v>1663.55</v>
      </c>
    </row>
    <row r="67" spans="1:44" ht="12.75">
      <c r="A67" s="19">
        <v>60</v>
      </c>
      <c r="B67" s="90" t="s">
        <v>360</v>
      </c>
      <c r="C67" s="21">
        <f>'[7]Final'!C68</f>
        <v>210426800</v>
      </c>
      <c r="D67" s="21">
        <f>'[7]Final'!D68</f>
        <v>49643205</v>
      </c>
      <c r="E67" s="21">
        <f t="shared" si="9"/>
        <v>160783595</v>
      </c>
      <c r="F67" s="21">
        <f>'[6]Table 7 Local Revenue'!E67</f>
        <v>150801635</v>
      </c>
      <c r="G67" s="159">
        <f t="shared" si="10"/>
        <v>0.0661926510279547</v>
      </c>
      <c r="H67" s="624">
        <f t="shared" si="21"/>
        <v>160783595</v>
      </c>
      <c r="I67" s="795">
        <v>4.68</v>
      </c>
      <c r="J67" s="750">
        <v>753523</v>
      </c>
      <c r="K67" s="795">
        <v>11.92</v>
      </c>
      <c r="L67" s="750">
        <v>1913996</v>
      </c>
      <c r="M67" s="749">
        <v>32.06</v>
      </c>
      <c r="N67" s="749">
        <v>32.06</v>
      </c>
      <c r="O67" s="749">
        <v>2</v>
      </c>
      <c r="P67" s="750">
        <v>804683</v>
      </c>
      <c r="Q67" s="98">
        <f t="shared" si="11"/>
        <v>3472202</v>
      </c>
      <c r="R67" s="749">
        <v>0</v>
      </c>
      <c r="S67" s="750">
        <v>0</v>
      </c>
      <c r="T67" s="749">
        <v>10.2</v>
      </c>
      <c r="U67" s="749">
        <v>40</v>
      </c>
      <c r="V67" s="749">
        <v>7</v>
      </c>
      <c r="W67" s="750">
        <v>4848717</v>
      </c>
      <c r="X67" s="21">
        <f t="shared" si="12"/>
        <v>4848717</v>
      </c>
      <c r="Y67" s="191">
        <f t="shared" si="13"/>
        <v>16.6</v>
      </c>
      <c r="Z67" s="21">
        <f t="shared" si="14"/>
        <v>2667519</v>
      </c>
      <c r="AA67" s="21">
        <f t="shared" si="15"/>
        <v>5653400</v>
      </c>
      <c r="AB67" s="192">
        <f t="shared" si="22"/>
        <v>30.16</v>
      </c>
      <c r="AC67" s="193">
        <f t="shared" si="23"/>
        <v>21.6</v>
      </c>
      <c r="AD67" s="157">
        <f t="shared" si="24"/>
        <v>51.75</v>
      </c>
      <c r="AE67" s="98">
        <f t="shared" si="16"/>
        <v>8320919</v>
      </c>
      <c r="AF67" s="202">
        <v>0.0213</v>
      </c>
      <c r="AG67" s="98">
        <v>14066619</v>
      </c>
      <c r="AH67" s="98">
        <v>0</v>
      </c>
      <c r="AI67" s="759">
        <f t="shared" si="17"/>
        <v>14066619</v>
      </c>
      <c r="AJ67" s="98">
        <f>'[6]Table 7 Local Revenue'!AK67</f>
        <v>641302864</v>
      </c>
      <c r="AK67" s="98">
        <f t="shared" si="28"/>
        <v>660404648</v>
      </c>
      <c r="AL67" s="202">
        <f t="shared" si="18"/>
        <v>0.02978590159547455</v>
      </c>
      <c r="AM67" s="98">
        <f t="shared" si="19"/>
        <v>660404648</v>
      </c>
      <c r="AN67" s="159">
        <f t="shared" si="25"/>
        <v>0.021299999996365865</v>
      </c>
      <c r="AO67" s="159">
        <f t="shared" si="26"/>
        <v>0</v>
      </c>
      <c r="AP67" s="98">
        <v>387565</v>
      </c>
      <c r="AQ67" s="98">
        <f t="shared" si="27"/>
        <v>22775103</v>
      </c>
      <c r="AR67" s="98">
        <f>ROUND(AQ67/'Table 3 Levels 1&amp;2'!C67,2)</f>
        <v>3295.01</v>
      </c>
    </row>
    <row r="68" spans="1:44" ht="12.75">
      <c r="A68" s="13">
        <v>61</v>
      </c>
      <c r="B68" s="89" t="s">
        <v>361</v>
      </c>
      <c r="C68" s="15">
        <f>'[7]Final'!C69</f>
        <v>293819150</v>
      </c>
      <c r="D68" s="15">
        <f>'[7]Final'!D69</f>
        <v>34844993</v>
      </c>
      <c r="E68" s="15">
        <f t="shared" si="9"/>
        <v>258974157</v>
      </c>
      <c r="F68" s="15">
        <f>'[6]Table 7 Local Revenue'!E68</f>
        <v>233346270</v>
      </c>
      <c r="G68" s="577">
        <f t="shared" si="10"/>
        <v>0.10982771226640992</v>
      </c>
      <c r="H68" s="461">
        <f t="shared" si="21"/>
        <v>256680897.00000003</v>
      </c>
      <c r="I68" s="794">
        <v>4.39</v>
      </c>
      <c r="J68" s="748">
        <v>1134068</v>
      </c>
      <c r="K68" s="794">
        <v>27</v>
      </c>
      <c r="L68" s="748">
        <v>6972017</v>
      </c>
      <c r="M68" s="747">
        <v>0</v>
      </c>
      <c r="N68" s="747">
        <v>0</v>
      </c>
      <c r="O68" s="747">
        <v>0</v>
      </c>
      <c r="P68" s="748">
        <v>0</v>
      </c>
      <c r="Q68" s="97">
        <f t="shared" si="11"/>
        <v>8106085</v>
      </c>
      <c r="R68" s="747">
        <v>8.5</v>
      </c>
      <c r="S68" s="748">
        <v>2195469</v>
      </c>
      <c r="T68" s="747">
        <v>0</v>
      </c>
      <c r="U68" s="747">
        <v>0</v>
      </c>
      <c r="V68" s="747">
        <v>0</v>
      </c>
      <c r="W68" s="748">
        <v>0</v>
      </c>
      <c r="X68" s="15">
        <f t="shared" si="12"/>
        <v>2195469</v>
      </c>
      <c r="Y68" s="188">
        <f t="shared" si="13"/>
        <v>39.89</v>
      </c>
      <c r="Z68" s="15">
        <f t="shared" si="14"/>
        <v>10301554</v>
      </c>
      <c r="AA68" s="15">
        <f t="shared" si="15"/>
        <v>0</v>
      </c>
      <c r="AB68" s="189">
        <f t="shared" si="22"/>
        <v>8.48</v>
      </c>
      <c r="AC68" s="190">
        <f t="shared" si="23"/>
        <v>31.3</v>
      </c>
      <c r="AD68" s="156">
        <f t="shared" si="24"/>
        <v>39.78</v>
      </c>
      <c r="AE68" s="97">
        <f t="shared" si="16"/>
        <v>10301554</v>
      </c>
      <c r="AF68" s="201">
        <v>0.02</v>
      </c>
      <c r="AG68" s="97">
        <v>11696919</v>
      </c>
      <c r="AH68" s="97">
        <v>0</v>
      </c>
      <c r="AI68" s="758">
        <f t="shared" si="17"/>
        <v>11696919</v>
      </c>
      <c r="AJ68" s="97">
        <f>'[6]Table 7 Local Revenue'!AK68</f>
        <v>507786400</v>
      </c>
      <c r="AK68" s="97">
        <f t="shared" si="28"/>
        <v>584845950</v>
      </c>
      <c r="AL68" s="579">
        <f t="shared" si="18"/>
        <v>0.1517558367061426</v>
      </c>
      <c r="AM68" s="523">
        <f t="shared" si="19"/>
        <v>583954360</v>
      </c>
      <c r="AN68" s="158">
        <f t="shared" si="25"/>
        <v>0.02</v>
      </c>
      <c r="AO68" s="158">
        <f t="shared" si="26"/>
        <v>0</v>
      </c>
      <c r="AP68" s="97">
        <v>191973</v>
      </c>
      <c r="AQ68" s="97">
        <f t="shared" si="27"/>
        <v>22190446</v>
      </c>
      <c r="AR68" s="97">
        <f>ROUND(AQ68/'Table 3 Levels 1&amp;2'!C68,2)</f>
        <v>6406.02</v>
      </c>
    </row>
    <row r="69" spans="1:44" ht="12.75">
      <c r="A69" s="13">
        <v>62</v>
      </c>
      <c r="B69" s="89" t="s">
        <v>362</v>
      </c>
      <c r="C69" s="15">
        <f>'[7]Final'!C70</f>
        <v>61049090</v>
      </c>
      <c r="D69" s="15">
        <f>'[7]Final'!D70</f>
        <v>15003202</v>
      </c>
      <c r="E69" s="15">
        <f t="shared" si="9"/>
        <v>46045888</v>
      </c>
      <c r="F69" s="15">
        <f>'[6]Table 7 Local Revenue'!E69</f>
        <v>40859452</v>
      </c>
      <c r="G69" s="577">
        <f t="shared" si="10"/>
        <v>0.1269335672930709</v>
      </c>
      <c r="H69" s="461">
        <f t="shared" si="21"/>
        <v>44945397.2</v>
      </c>
      <c r="I69" s="794">
        <v>7.03</v>
      </c>
      <c r="J69" s="748">
        <v>323394</v>
      </c>
      <c r="K69" s="794">
        <v>18.78</v>
      </c>
      <c r="L69" s="748">
        <v>863918</v>
      </c>
      <c r="M69" s="747">
        <v>5</v>
      </c>
      <c r="N69" s="747">
        <v>5</v>
      </c>
      <c r="O69" s="747">
        <v>1</v>
      </c>
      <c r="P69" s="748">
        <v>104681</v>
      </c>
      <c r="Q69" s="97">
        <f t="shared" si="11"/>
        <v>1291993</v>
      </c>
      <c r="R69" s="747">
        <v>0</v>
      </c>
      <c r="S69" s="748">
        <v>0</v>
      </c>
      <c r="T69" s="747">
        <v>0</v>
      </c>
      <c r="U69" s="747">
        <v>0</v>
      </c>
      <c r="V69" s="747">
        <v>0</v>
      </c>
      <c r="W69" s="748">
        <v>0</v>
      </c>
      <c r="X69" s="15">
        <f t="shared" si="12"/>
        <v>0</v>
      </c>
      <c r="Y69" s="188">
        <f t="shared" si="13"/>
        <v>25.810000000000002</v>
      </c>
      <c r="Z69" s="15">
        <f t="shared" si="14"/>
        <v>1187312</v>
      </c>
      <c r="AA69" s="15">
        <f t="shared" si="15"/>
        <v>104681</v>
      </c>
      <c r="AB69" s="189">
        <f t="shared" si="22"/>
        <v>0</v>
      </c>
      <c r="AC69" s="190">
        <f t="shared" si="23"/>
        <v>28.06</v>
      </c>
      <c r="AD69" s="156">
        <f t="shared" si="24"/>
        <v>28.06</v>
      </c>
      <c r="AE69" s="97">
        <f t="shared" si="16"/>
        <v>1291993</v>
      </c>
      <c r="AF69" s="201">
        <v>0.02</v>
      </c>
      <c r="AG69" s="97">
        <v>2337487</v>
      </c>
      <c r="AH69" s="97">
        <v>0</v>
      </c>
      <c r="AI69" s="758">
        <f t="shared" si="17"/>
        <v>2337487</v>
      </c>
      <c r="AJ69" s="97">
        <f>'[6]Table 7 Local Revenue'!AK69</f>
        <v>108890100</v>
      </c>
      <c r="AK69" s="97">
        <f t="shared" si="28"/>
        <v>116874350</v>
      </c>
      <c r="AL69" s="201">
        <f t="shared" si="18"/>
        <v>0.07332392935629593</v>
      </c>
      <c r="AM69" s="97">
        <f t="shared" si="19"/>
        <v>116874350</v>
      </c>
      <c r="AN69" s="158">
        <f t="shared" si="25"/>
        <v>0.02</v>
      </c>
      <c r="AO69" s="158">
        <f t="shared" si="26"/>
        <v>0</v>
      </c>
      <c r="AP69" s="97">
        <v>105491</v>
      </c>
      <c r="AQ69" s="97">
        <f t="shared" si="27"/>
        <v>3734971</v>
      </c>
      <c r="AR69" s="97">
        <f>ROUND(AQ69/'Table 3 Levels 1&amp;2'!C69,2)</f>
        <v>1771.81</v>
      </c>
    </row>
    <row r="70" spans="1:44" ht="12.75">
      <c r="A70" s="13">
        <v>63</v>
      </c>
      <c r="B70" s="89" t="s">
        <v>363</v>
      </c>
      <c r="C70" s="15">
        <f>'[7]Final'!C71</f>
        <v>288318647</v>
      </c>
      <c r="D70" s="15">
        <f>'[7]Final'!D71</f>
        <v>15163062</v>
      </c>
      <c r="E70" s="15">
        <f t="shared" si="9"/>
        <v>273155585</v>
      </c>
      <c r="F70" s="15">
        <f>'[6]Table 7 Local Revenue'!E70</f>
        <v>280446321</v>
      </c>
      <c r="G70" s="17">
        <f t="shared" si="10"/>
        <v>-0.025996903699799293</v>
      </c>
      <c r="H70" s="458">
        <f t="shared" si="21"/>
        <v>273155585</v>
      </c>
      <c r="I70" s="794">
        <v>4.46</v>
      </c>
      <c r="J70" s="748">
        <v>1177039</v>
      </c>
      <c r="K70" s="794">
        <v>18.5</v>
      </c>
      <c r="L70" s="748">
        <v>4882333</v>
      </c>
      <c r="M70" s="747">
        <v>0</v>
      </c>
      <c r="N70" s="747">
        <v>0</v>
      </c>
      <c r="O70" s="747">
        <v>0</v>
      </c>
      <c r="P70" s="748">
        <v>0</v>
      </c>
      <c r="Q70" s="97">
        <f t="shared" si="11"/>
        <v>6059372</v>
      </c>
      <c r="R70" s="747">
        <v>5</v>
      </c>
      <c r="S70" s="748">
        <v>1319552</v>
      </c>
      <c r="T70" s="747">
        <v>0</v>
      </c>
      <c r="U70" s="747">
        <v>0</v>
      </c>
      <c r="V70" s="747">
        <v>0</v>
      </c>
      <c r="W70" s="748">
        <v>0</v>
      </c>
      <c r="X70" s="15">
        <f t="shared" si="12"/>
        <v>1319552</v>
      </c>
      <c r="Y70" s="188">
        <f t="shared" si="13"/>
        <v>27.96</v>
      </c>
      <c r="Z70" s="15">
        <f t="shared" si="14"/>
        <v>7378924</v>
      </c>
      <c r="AA70" s="15">
        <f t="shared" si="15"/>
        <v>0</v>
      </c>
      <c r="AB70" s="189">
        <f t="shared" si="22"/>
        <v>4.83</v>
      </c>
      <c r="AC70" s="190">
        <f t="shared" si="23"/>
        <v>22.18</v>
      </c>
      <c r="AD70" s="156">
        <f t="shared" si="24"/>
        <v>27.01</v>
      </c>
      <c r="AE70" s="97">
        <f t="shared" si="16"/>
        <v>7378924</v>
      </c>
      <c r="AF70" s="201">
        <v>0.02</v>
      </c>
      <c r="AG70" s="97">
        <v>3977389</v>
      </c>
      <c r="AH70" s="97">
        <v>0</v>
      </c>
      <c r="AI70" s="758">
        <f t="shared" si="17"/>
        <v>3977389</v>
      </c>
      <c r="AJ70" s="97">
        <f>'[6]Table 7 Local Revenue'!AK70</f>
        <v>200513450</v>
      </c>
      <c r="AK70" s="97">
        <f t="shared" si="28"/>
        <v>198869450</v>
      </c>
      <c r="AL70" s="201">
        <f t="shared" si="18"/>
        <v>-0.00819895124242289</v>
      </c>
      <c r="AM70" s="97">
        <f t="shared" si="19"/>
        <v>198869450</v>
      </c>
      <c r="AN70" s="158">
        <f t="shared" si="25"/>
        <v>0.02</v>
      </c>
      <c r="AO70" s="158">
        <f t="shared" si="26"/>
        <v>0</v>
      </c>
      <c r="AP70" s="97">
        <v>119572</v>
      </c>
      <c r="AQ70" s="97">
        <f t="shared" si="27"/>
        <v>11475885</v>
      </c>
      <c r="AR70" s="97">
        <f>ROUND(AQ70/'Table 3 Levels 1&amp;2'!C70,2)</f>
        <v>5423.39</v>
      </c>
    </row>
    <row r="71" spans="1:44" ht="12.75">
      <c r="A71" s="13">
        <v>64</v>
      </c>
      <c r="B71" s="89" t="s">
        <v>364</v>
      </c>
      <c r="C71" s="15">
        <f>'[7]Final'!C72</f>
        <v>71129696</v>
      </c>
      <c r="D71" s="15">
        <f>'[7]Final'!D72</f>
        <v>15768825</v>
      </c>
      <c r="E71" s="15">
        <f t="shared" si="9"/>
        <v>55360871</v>
      </c>
      <c r="F71" s="15">
        <f>'[6]Table 7 Local Revenue'!E71</f>
        <v>52712742</v>
      </c>
      <c r="G71" s="17">
        <f t="shared" si="10"/>
        <v>0.05023698065260957</v>
      </c>
      <c r="H71" s="458">
        <f t="shared" si="21"/>
        <v>55360871</v>
      </c>
      <c r="I71" s="794">
        <v>4.88</v>
      </c>
      <c r="J71" s="748">
        <v>266930</v>
      </c>
      <c r="K71" s="794">
        <v>15.64</v>
      </c>
      <c r="L71" s="748">
        <v>857879</v>
      </c>
      <c r="M71" s="747">
        <v>6.12</v>
      </c>
      <c r="N71" s="747">
        <v>6.12</v>
      </c>
      <c r="O71" s="747">
        <v>2</v>
      </c>
      <c r="P71" s="748">
        <v>145004</v>
      </c>
      <c r="Q71" s="97">
        <f t="shared" si="11"/>
        <v>1269813</v>
      </c>
      <c r="R71" s="747">
        <v>0</v>
      </c>
      <c r="S71" s="748">
        <v>0</v>
      </c>
      <c r="T71" s="747">
        <v>22</v>
      </c>
      <c r="U71" s="747">
        <v>66</v>
      </c>
      <c r="V71" s="747">
        <v>4</v>
      </c>
      <c r="W71" s="748">
        <v>1479229</v>
      </c>
      <c r="X71" s="15">
        <f t="shared" si="12"/>
        <v>1479229</v>
      </c>
      <c r="Y71" s="188">
        <f t="shared" si="13"/>
        <v>20.52</v>
      </c>
      <c r="Z71" s="15">
        <f t="shared" si="14"/>
        <v>1124809</v>
      </c>
      <c r="AA71" s="15">
        <f t="shared" si="15"/>
        <v>1624233</v>
      </c>
      <c r="AB71" s="189">
        <f t="shared" si="22"/>
        <v>26.72</v>
      </c>
      <c r="AC71" s="190">
        <f t="shared" si="23"/>
        <v>22.94</v>
      </c>
      <c r="AD71" s="156">
        <f t="shared" si="24"/>
        <v>49.66</v>
      </c>
      <c r="AE71" s="97">
        <f t="shared" si="16"/>
        <v>2749042</v>
      </c>
      <c r="AF71" s="201">
        <v>0.02</v>
      </c>
      <c r="AG71" s="97">
        <v>4123905</v>
      </c>
      <c r="AH71" s="97">
        <v>0</v>
      </c>
      <c r="AI71" s="758">
        <f t="shared" si="17"/>
        <v>4123905</v>
      </c>
      <c r="AJ71" s="97">
        <f>'[6]Table 7 Local Revenue'!AK71</f>
        <v>183643250</v>
      </c>
      <c r="AK71" s="97">
        <f t="shared" si="28"/>
        <v>206195250</v>
      </c>
      <c r="AL71" s="201">
        <f t="shared" si="18"/>
        <v>0.12280331566774166</v>
      </c>
      <c r="AM71" s="97">
        <f t="shared" si="19"/>
        <v>206195250</v>
      </c>
      <c r="AN71" s="158">
        <f t="shared" si="25"/>
        <v>0.02</v>
      </c>
      <c r="AO71" s="158">
        <f t="shared" si="26"/>
        <v>0</v>
      </c>
      <c r="AP71" s="97">
        <v>447925</v>
      </c>
      <c r="AQ71" s="97">
        <f t="shared" si="27"/>
        <v>7320872</v>
      </c>
      <c r="AR71" s="97">
        <f>ROUND(AQ71/'Table 3 Levels 1&amp;2'!C71,2)</f>
        <v>2922.5</v>
      </c>
    </row>
    <row r="72" spans="1:44" ht="12.75">
      <c r="A72" s="19">
        <v>65</v>
      </c>
      <c r="B72" s="90" t="s">
        <v>365</v>
      </c>
      <c r="C72" s="21">
        <f>'[7]Final'!C73</f>
        <v>372317557</v>
      </c>
      <c r="D72" s="21">
        <f>'[7]Final'!D73</f>
        <v>45624863</v>
      </c>
      <c r="E72" s="21">
        <f t="shared" si="9"/>
        <v>326692694</v>
      </c>
      <c r="F72" s="21">
        <f>'[6]Table 7 Local Revenue'!E72</f>
        <v>318120696</v>
      </c>
      <c r="G72" s="374">
        <f t="shared" si="10"/>
        <v>0.02694574137358231</v>
      </c>
      <c r="H72" s="459">
        <f t="shared" si="21"/>
        <v>326692694</v>
      </c>
      <c r="I72" s="795">
        <v>7.07</v>
      </c>
      <c r="J72" s="750">
        <v>2174647</v>
      </c>
      <c r="K72" s="795">
        <v>20.55</v>
      </c>
      <c r="L72" s="750">
        <v>6881966</v>
      </c>
      <c r="M72" s="749">
        <v>0</v>
      </c>
      <c r="N72" s="749">
        <v>0</v>
      </c>
      <c r="O72" s="749">
        <v>0</v>
      </c>
      <c r="P72" s="750">
        <v>0</v>
      </c>
      <c r="Q72" s="98">
        <f t="shared" si="11"/>
        <v>9056613</v>
      </c>
      <c r="R72" s="749">
        <v>13</v>
      </c>
      <c r="S72" s="750">
        <v>4262562</v>
      </c>
      <c r="T72" s="749">
        <v>0</v>
      </c>
      <c r="U72" s="749">
        <v>0</v>
      </c>
      <c r="V72" s="749">
        <v>0</v>
      </c>
      <c r="W72" s="750">
        <v>0</v>
      </c>
      <c r="X72" s="21">
        <f t="shared" si="12"/>
        <v>4262562</v>
      </c>
      <c r="Y72" s="191">
        <f t="shared" si="13"/>
        <v>40.620000000000005</v>
      </c>
      <c r="Z72" s="21">
        <f t="shared" si="14"/>
        <v>13319175</v>
      </c>
      <c r="AA72" s="21">
        <f t="shared" si="15"/>
        <v>0</v>
      </c>
      <c r="AB72" s="192">
        <f aca="true" t="shared" si="29" ref="AB72:AB77">ROUND((X72/E72)*1000,2)</f>
        <v>13.05</v>
      </c>
      <c r="AC72" s="193">
        <f aca="true" t="shared" si="30" ref="AC72:AC77">ROUND((Q72/E72)*1000,2)</f>
        <v>27.72</v>
      </c>
      <c r="AD72" s="157">
        <f aca="true" t="shared" si="31" ref="AD72:AD77">ROUND((AE72/E72)*1000,2)</f>
        <v>40.77</v>
      </c>
      <c r="AE72" s="98">
        <f t="shared" si="16"/>
        <v>13319175</v>
      </c>
      <c r="AF72" s="202">
        <v>0.02</v>
      </c>
      <c r="AG72" s="98">
        <v>24568773</v>
      </c>
      <c r="AH72" s="98">
        <v>0</v>
      </c>
      <c r="AI72" s="759">
        <f t="shared" si="17"/>
        <v>24568773</v>
      </c>
      <c r="AJ72" s="98">
        <f>'[6]Table 7 Local Revenue'!AK72</f>
        <v>1204405550</v>
      </c>
      <c r="AK72" s="98">
        <f t="shared" si="28"/>
        <v>1228438650</v>
      </c>
      <c r="AL72" s="202">
        <f t="shared" si="18"/>
        <v>0.01995432518556561</v>
      </c>
      <c r="AM72" s="98">
        <f t="shared" si="19"/>
        <v>1228438650</v>
      </c>
      <c r="AN72" s="159">
        <f t="shared" si="25"/>
        <v>0.02</v>
      </c>
      <c r="AO72" s="159">
        <f t="shared" si="26"/>
        <v>0</v>
      </c>
      <c r="AP72" s="98">
        <v>315499</v>
      </c>
      <c r="AQ72" s="98">
        <f>AP72+AE72+AI72</f>
        <v>38203447</v>
      </c>
      <c r="AR72" s="98">
        <f>ROUND(AQ72/'Table 3 Levels 1&amp;2'!C72,2)</f>
        <v>4600.05</v>
      </c>
    </row>
    <row r="73" spans="1:44" ht="12.75">
      <c r="A73" s="13">
        <v>66</v>
      </c>
      <c r="B73" s="89" t="s">
        <v>366</v>
      </c>
      <c r="C73" s="97">
        <f>'[7]Final'!C74</f>
        <v>87774850</v>
      </c>
      <c r="D73" s="97">
        <f>'[7]Final'!D74</f>
        <v>19926410</v>
      </c>
      <c r="E73" s="15">
        <f>C73-D73</f>
        <v>67848440</v>
      </c>
      <c r="F73" s="97">
        <f>'[6]Table 7 Local Revenue'!E73</f>
        <v>61621390</v>
      </c>
      <c r="G73" s="577">
        <f>(E73-F73)/F73</f>
        <v>0.10105338422258894</v>
      </c>
      <c r="H73" s="461">
        <f t="shared" si="21"/>
        <v>67783529</v>
      </c>
      <c r="I73" s="794">
        <v>6.44</v>
      </c>
      <c r="J73" s="748">
        <v>399713</v>
      </c>
      <c r="K73" s="794">
        <v>56.37</v>
      </c>
      <c r="L73" s="748">
        <v>3674522</v>
      </c>
      <c r="M73" s="747">
        <v>0</v>
      </c>
      <c r="N73" s="747">
        <v>0</v>
      </c>
      <c r="O73" s="747">
        <v>0</v>
      </c>
      <c r="P73" s="748">
        <v>0</v>
      </c>
      <c r="Q73" s="97">
        <f>J73+L73+P73</f>
        <v>4074235</v>
      </c>
      <c r="R73" s="747">
        <v>0</v>
      </c>
      <c r="S73" s="748">
        <v>0</v>
      </c>
      <c r="T73" s="747">
        <v>0</v>
      </c>
      <c r="U73" s="747">
        <v>0</v>
      </c>
      <c r="V73" s="747">
        <v>0</v>
      </c>
      <c r="W73" s="748">
        <v>0</v>
      </c>
      <c r="X73" s="97">
        <f>S73+W73</f>
        <v>0</v>
      </c>
      <c r="Y73" s="205">
        <f aca="true" t="shared" si="32" ref="Y73:Z75">I73+K73+R73</f>
        <v>62.809999999999995</v>
      </c>
      <c r="Z73" s="97">
        <f t="shared" si="32"/>
        <v>4074235</v>
      </c>
      <c r="AA73" s="97">
        <f>P73+W73</f>
        <v>0</v>
      </c>
      <c r="AB73" s="206">
        <f t="shared" si="29"/>
        <v>0</v>
      </c>
      <c r="AC73" s="207">
        <f t="shared" si="30"/>
        <v>60.05</v>
      </c>
      <c r="AD73" s="156">
        <f t="shared" si="31"/>
        <v>60.05</v>
      </c>
      <c r="AE73" s="97">
        <f>X73+Q73</f>
        <v>4074235</v>
      </c>
      <c r="AF73" s="201">
        <v>0.01</v>
      </c>
      <c r="AG73" s="97">
        <v>2953617</v>
      </c>
      <c r="AH73" s="97">
        <v>0</v>
      </c>
      <c r="AI73" s="758">
        <f>AG73+AH73</f>
        <v>2953617</v>
      </c>
      <c r="AJ73" s="97">
        <f>'[6]Table 7 Local Revenue'!AK73</f>
        <v>261472400</v>
      </c>
      <c r="AK73" s="97">
        <f t="shared" si="28"/>
        <v>295361700</v>
      </c>
      <c r="AL73" s="201">
        <f>(AK73-AJ73)/AJ73</f>
        <v>0.129609473122211</v>
      </c>
      <c r="AM73" s="97">
        <f>IF((AK73-AJ73)/AJ73&gt;$AM$5,AJ73*(1+$AM$5),AK73)</f>
        <v>295361700</v>
      </c>
      <c r="AN73" s="158">
        <f t="shared" si="25"/>
        <v>0.01</v>
      </c>
      <c r="AO73" s="158">
        <f t="shared" si="26"/>
        <v>0</v>
      </c>
      <c r="AP73" s="97">
        <v>225351</v>
      </c>
      <c r="AQ73" s="97">
        <f>AP73+AE73+AI73</f>
        <v>7253203</v>
      </c>
      <c r="AR73" s="97">
        <f>ROUND(AQ73/'Table 3 Levels 1&amp;2'!C73,2)</f>
        <v>3348.66</v>
      </c>
    </row>
    <row r="74" spans="1:44" s="95" customFormat="1" ht="12.75">
      <c r="A74" s="126">
        <v>67</v>
      </c>
      <c r="B74" s="204" t="s">
        <v>135</v>
      </c>
      <c r="C74" s="97">
        <f>'[7]Final'!C75</f>
        <v>177161010</v>
      </c>
      <c r="D74" s="209">
        <f>'[7]Final'!D75</f>
        <v>32119450</v>
      </c>
      <c r="E74" s="15">
        <f>C74-D74</f>
        <v>145041560</v>
      </c>
      <c r="F74" s="209">
        <f>'[6]Table 7 Local Revenue'!E74</f>
        <v>129032780</v>
      </c>
      <c r="G74" s="745">
        <f>(E74-F74)/F74</f>
        <v>0.12406754314678797</v>
      </c>
      <c r="H74" s="461">
        <f t="shared" si="21"/>
        <v>141936058</v>
      </c>
      <c r="I74" s="205">
        <v>5</v>
      </c>
      <c r="J74" s="97">
        <v>714709</v>
      </c>
      <c r="K74" s="205">
        <v>38.2</v>
      </c>
      <c r="L74" s="97">
        <v>5460378</v>
      </c>
      <c r="M74" s="753">
        <v>0</v>
      </c>
      <c r="N74" s="753">
        <v>0</v>
      </c>
      <c r="O74" s="101">
        <v>1</v>
      </c>
      <c r="P74" s="97">
        <v>0</v>
      </c>
      <c r="Q74" s="97">
        <f>J74+L74+P74</f>
        <v>6175087</v>
      </c>
      <c r="R74" s="753">
        <v>36</v>
      </c>
      <c r="S74" s="97">
        <v>5145906</v>
      </c>
      <c r="T74" s="753">
        <v>0</v>
      </c>
      <c r="U74" s="753">
        <v>0</v>
      </c>
      <c r="V74" s="101">
        <v>1</v>
      </c>
      <c r="W74" s="97">
        <v>0</v>
      </c>
      <c r="X74" s="97">
        <f>S74+W74</f>
        <v>5145906</v>
      </c>
      <c r="Y74" s="205">
        <f t="shared" si="32"/>
        <v>79.2</v>
      </c>
      <c r="Z74" s="97">
        <f t="shared" si="32"/>
        <v>11320993</v>
      </c>
      <c r="AA74" s="97">
        <f>P74+W74</f>
        <v>0</v>
      </c>
      <c r="AB74" s="206">
        <f t="shared" si="29"/>
        <v>35.48</v>
      </c>
      <c r="AC74" s="207">
        <f t="shared" si="30"/>
        <v>42.57</v>
      </c>
      <c r="AD74" s="156">
        <f t="shared" si="31"/>
        <v>78.05</v>
      </c>
      <c r="AE74" s="97">
        <f>X74+Q74</f>
        <v>11320993</v>
      </c>
      <c r="AF74" s="201">
        <v>0.02</v>
      </c>
      <c r="AG74" s="97">
        <v>8009025</v>
      </c>
      <c r="AH74" s="97">
        <v>0</v>
      </c>
      <c r="AI74" s="758">
        <f>AG74+AH74</f>
        <v>8009025</v>
      </c>
      <c r="AJ74" s="97">
        <f>'[6]Table 7 Local Revenue'!AK74</f>
        <v>376759250</v>
      </c>
      <c r="AK74" s="97">
        <f t="shared" si="28"/>
        <v>400451250</v>
      </c>
      <c r="AL74" s="201">
        <f>(AK74-AJ74)/AJ74</f>
        <v>0.06288365846359446</v>
      </c>
      <c r="AM74" s="97">
        <f>IF((AK74-AJ74)/AJ74&gt;$AM$5,AJ74*(1+$AM$5),AK74)</f>
        <v>400451250</v>
      </c>
      <c r="AN74" s="158">
        <f t="shared" si="25"/>
        <v>0.02</v>
      </c>
      <c r="AO74" s="158">
        <f t="shared" si="26"/>
        <v>0</v>
      </c>
      <c r="AP74" s="97">
        <v>73948</v>
      </c>
      <c r="AQ74" s="97">
        <f>AP74+AE74+AI74</f>
        <v>19403966</v>
      </c>
      <c r="AR74" s="97">
        <f>ROUND(AQ74/'Table 3 Levels 1&amp;2'!C74,2)</f>
        <v>4322.56</v>
      </c>
    </row>
    <row r="75" spans="1:44" s="95" customFormat="1" ht="12.75">
      <c r="A75" s="126">
        <v>68</v>
      </c>
      <c r="B75" s="204" t="s">
        <v>132</v>
      </c>
      <c r="C75" s="97">
        <f>'[7]Final'!C76</f>
        <v>56408560</v>
      </c>
      <c r="D75" s="209">
        <f>'[7]Final'!D76</f>
        <v>19812500</v>
      </c>
      <c r="E75" s="209">
        <f>C75-D75</f>
        <v>36596060</v>
      </c>
      <c r="F75" s="209">
        <f>'[6]Table 7 Local Revenue'!E75</f>
        <v>30179140</v>
      </c>
      <c r="G75" s="745">
        <f>(E75-F75)/F75</f>
        <v>0.21262766268356223</v>
      </c>
      <c r="H75" s="461">
        <f t="shared" si="21"/>
        <v>33197054.000000004</v>
      </c>
      <c r="I75" s="205">
        <v>5</v>
      </c>
      <c r="J75" s="97">
        <v>160756</v>
      </c>
      <c r="K75" s="205">
        <v>38.2</v>
      </c>
      <c r="L75" s="97">
        <v>1231334</v>
      </c>
      <c r="M75" s="753">
        <v>0</v>
      </c>
      <c r="N75" s="753">
        <v>0</v>
      </c>
      <c r="O75" s="101">
        <v>1</v>
      </c>
      <c r="P75" s="97">
        <v>0</v>
      </c>
      <c r="Q75" s="97">
        <f>J75+L75+P75</f>
        <v>1392090</v>
      </c>
      <c r="R75" s="753">
        <v>0</v>
      </c>
      <c r="S75" s="97">
        <v>0</v>
      </c>
      <c r="T75" s="753">
        <v>0</v>
      </c>
      <c r="U75" s="753">
        <v>0</v>
      </c>
      <c r="V75" s="101">
        <v>1</v>
      </c>
      <c r="W75" s="97">
        <v>0</v>
      </c>
      <c r="X75" s="97">
        <f>S75+W75</f>
        <v>0</v>
      </c>
      <c r="Y75" s="205">
        <f t="shared" si="32"/>
        <v>43.2</v>
      </c>
      <c r="Z75" s="97">
        <f t="shared" si="32"/>
        <v>1392090</v>
      </c>
      <c r="AA75" s="97">
        <f>P75+W75</f>
        <v>0</v>
      </c>
      <c r="AB75" s="206">
        <f t="shared" si="29"/>
        <v>0</v>
      </c>
      <c r="AC75" s="207">
        <f t="shared" si="30"/>
        <v>38.04</v>
      </c>
      <c r="AD75" s="156">
        <f t="shared" si="31"/>
        <v>38.04</v>
      </c>
      <c r="AE75" s="97">
        <f>X75+Q75</f>
        <v>1392090</v>
      </c>
      <c r="AF75" s="201">
        <v>0.02</v>
      </c>
      <c r="AG75" s="97">
        <v>5191471</v>
      </c>
      <c r="AH75" s="97">
        <v>0</v>
      </c>
      <c r="AI75" s="758">
        <f>AG75+AH75</f>
        <v>5191471</v>
      </c>
      <c r="AJ75" s="97">
        <f>'[6]Table 7 Local Revenue'!AK75</f>
        <v>164323100</v>
      </c>
      <c r="AK75" s="97">
        <f t="shared" si="28"/>
        <v>259573550</v>
      </c>
      <c r="AL75" s="579">
        <f>(AK75-AJ75)/AJ75</f>
        <v>0.57965343886526</v>
      </c>
      <c r="AM75" s="523">
        <f>IF((AK75-AJ75)/AJ75&gt;$AM$5,AJ75*(1+$AM$5),AK75)</f>
        <v>188971565</v>
      </c>
      <c r="AN75" s="158">
        <f t="shared" si="25"/>
        <v>0.02</v>
      </c>
      <c r="AO75" s="158">
        <f t="shared" si="26"/>
        <v>0</v>
      </c>
      <c r="AP75" s="97">
        <v>45614</v>
      </c>
      <c r="AQ75" s="97">
        <f>AP75+AE75+AI75</f>
        <v>6629175</v>
      </c>
      <c r="AR75" s="97">
        <f>ROUND(AQ75/'Table 3 Levels 1&amp;2'!C75,2)</f>
        <v>3650.43</v>
      </c>
    </row>
    <row r="76" spans="1:44" s="132" customFormat="1" ht="12.75">
      <c r="A76" s="126">
        <v>69</v>
      </c>
      <c r="B76" s="204" t="s">
        <v>447</v>
      </c>
      <c r="C76" s="97">
        <f>'[7]Final'!C77</f>
        <v>140682410</v>
      </c>
      <c r="D76" s="209">
        <f>'[7]Final'!D77</f>
        <v>58840450</v>
      </c>
      <c r="E76" s="209">
        <f>C76-D76</f>
        <v>81841960</v>
      </c>
      <c r="F76" s="209">
        <f>'[6]Table 7 Local Revenue'!E76</f>
        <v>75457027</v>
      </c>
      <c r="G76" s="625">
        <f>(E76-F76)/F76</f>
        <v>0.084616811102298</v>
      </c>
      <c r="H76" s="460">
        <f t="shared" si="21"/>
        <v>81841960</v>
      </c>
      <c r="I76" s="205">
        <v>5</v>
      </c>
      <c r="J76" s="97">
        <v>200535</v>
      </c>
      <c r="K76" s="205">
        <v>38.45</v>
      </c>
      <c r="L76" s="97">
        <v>1542111</v>
      </c>
      <c r="M76" s="753">
        <v>0</v>
      </c>
      <c r="N76" s="753">
        <v>0</v>
      </c>
      <c r="O76" s="101">
        <v>0</v>
      </c>
      <c r="P76" s="97">
        <v>0</v>
      </c>
      <c r="Q76" s="754">
        <f>J76+L76+P76</f>
        <v>1742646</v>
      </c>
      <c r="R76" s="753">
        <v>0</v>
      </c>
      <c r="S76" s="97">
        <v>0</v>
      </c>
      <c r="T76" s="753">
        <v>0</v>
      </c>
      <c r="U76" s="753">
        <v>0</v>
      </c>
      <c r="V76" s="101">
        <v>0</v>
      </c>
      <c r="W76" s="97">
        <v>0</v>
      </c>
      <c r="X76" s="754">
        <f>S76+W76</f>
        <v>0</v>
      </c>
      <c r="Y76" s="205">
        <f>I76+K76+R76</f>
        <v>43.45</v>
      </c>
      <c r="Z76" s="97">
        <f>J76+L76+S76</f>
        <v>1742646</v>
      </c>
      <c r="AA76" s="97">
        <f>P76+W76</f>
        <v>0</v>
      </c>
      <c r="AB76" s="755">
        <f t="shared" si="29"/>
        <v>0</v>
      </c>
      <c r="AC76" s="756">
        <f t="shared" si="30"/>
        <v>21.29</v>
      </c>
      <c r="AD76" s="757">
        <f t="shared" si="31"/>
        <v>21.29</v>
      </c>
      <c r="AE76" s="97">
        <f>X76+Q76</f>
        <v>1742646</v>
      </c>
      <c r="AF76" s="201">
        <v>0.02</v>
      </c>
      <c r="AG76" s="97">
        <v>5340217</v>
      </c>
      <c r="AH76" s="97">
        <v>0</v>
      </c>
      <c r="AI76" s="758">
        <f>AG76+AH76</f>
        <v>5340217</v>
      </c>
      <c r="AJ76" s="97">
        <f>'[6]Table 7 Local Revenue'!AK76</f>
        <v>257305250</v>
      </c>
      <c r="AK76" s="97">
        <f t="shared" si="28"/>
        <v>267010850</v>
      </c>
      <c r="AL76" s="201">
        <f>(AK76-AJ76)/AJ76</f>
        <v>0.03772017865939385</v>
      </c>
      <c r="AM76" s="97">
        <f>IF((AK76-AJ76)/AJ76&gt;$AM$5,AJ76*(1+$AM$5),AK76)</f>
        <v>267010850</v>
      </c>
      <c r="AN76" s="158">
        <f t="shared" si="25"/>
        <v>0.02</v>
      </c>
      <c r="AO76" s="158">
        <f t="shared" si="26"/>
        <v>0</v>
      </c>
      <c r="AP76" s="97">
        <v>0</v>
      </c>
      <c r="AQ76" s="97">
        <f>AP76+AE76+AI76</f>
        <v>7082863</v>
      </c>
      <c r="AR76" s="97">
        <f>ROUND(AQ76/'Table 3 Levels 1&amp;2'!C76,2)</f>
        <v>2001.94</v>
      </c>
    </row>
    <row r="77" spans="1:44" s="81" customFormat="1" ht="13.5" thickBot="1">
      <c r="A77" s="507"/>
      <c r="B77" s="508" t="s">
        <v>298</v>
      </c>
      <c r="C77" s="203">
        <f>SUM(C8:C76)</f>
        <v>31972912866</v>
      </c>
      <c r="D77" s="203">
        <f>SUM(D8:D76)</f>
        <v>6194980444</v>
      </c>
      <c r="E77" s="203">
        <f>SUM(E8:E76)</f>
        <v>25777932422</v>
      </c>
      <c r="F77" s="509">
        <f>SUM(F8:F76)</f>
        <v>23110578908</v>
      </c>
      <c r="G77" s="510">
        <f>(E77-F77)/F77</f>
        <v>0.11541699256510896</v>
      </c>
      <c r="H77" s="511">
        <f>SUM(H8:H76)</f>
        <v>24984942951.1</v>
      </c>
      <c r="I77" s="512">
        <v>5.02</v>
      </c>
      <c r="J77" s="203">
        <f>SUM(J8:J76)</f>
        <v>155885356</v>
      </c>
      <c r="K77" s="513">
        <v>23.62</v>
      </c>
      <c r="L77" s="203">
        <f>SUM(L8:L76)</f>
        <v>671823274</v>
      </c>
      <c r="M77" s="513">
        <v>0</v>
      </c>
      <c r="N77" s="513">
        <v>85.56</v>
      </c>
      <c r="O77" s="513">
        <f>SUM(O8:O76)</f>
        <v>108</v>
      </c>
      <c r="P77" s="203">
        <f>SUM(P8:P76)</f>
        <v>24613945</v>
      </c>
      <c r="Q77" s="203">
        <f>SUM(Q8:Q76)</f>
        <v>852322575</v>
      </c>
      <c r="R77" s="760">
        <v>5.09</v>
      </c>
      <c r="S77" s="580">
        <f>SUM(S8:S76)</f>
        <v>124765715</v>
      </c>
      <c r="T77" s="760">
        <v>0</v>
      </c>
      <c r="U77" s="760">
        <v>87.99</v>
      </c>
      <c r="V77" s="760">
        <v>143</v>
      </c>
      <c r="W77" s="580">
        <f>SUM(W8:W76)</f>
        <v>79988833</v>
      </c>
      <c r="X77" s="203">
        <f>SUM(X8:X76)</f>
        <v>204754548</v>
      </c>
      <c r="Y77" s="513"/>
      <c r="Z77" s="203">
        <f>SUM(Z8:Z76)</f>
        <v>952474345</v>
      </c>
      <c r="AA77" s="203">
        <f>SUM(AA8:AA76)</f>
        <v>104602778</v>
      </c>
      <c r="AB77" s="514">
        <f t="shared" si="29"/>
        <v>7.94</v>
      </c>
      <c r="AC77" s="515">
        <f t="shared" si="30"/>
        <v>33.06</v>
      </c>
      <c r="AD77" s="516">
        <f t="shared" si="31"/>
        <v>41.01</v>
      </c>
      <c r="AE77" s="203">
        <f>SUM(AE8:AE76)</f>
        <v>1057077123</v>
      </c>
      <c r="AF77" s="746">
        <f>AI77/AK77</f>
        <v>0.01958912295395334</v>
      </c>
      <c r="AG77" s="509">
        <f>SUM(AG8:AG76)</f>
        <v>1531876447</v>
      </c>
      <c r="AH77" s="509">
        <f>SUM(AH8:AH76)</f>
        <v>50379495</v>
      </c>
      <c r="AI77" s="509">
        <f>SUM(AI8:AI76)</f>
        <v>1582658375.8899999</v>
      </c>
      <c r="AJ77" s="509">
        <f>SUM(AJ8:AJ76)</f>
        <v>78946802463</v>
      </c>
      <c r="AK77" s="509">
        <f>SUM(AK8:AK76)</f>
        <v>80792712344</v>
      </c>
      <c r="AL77" s="517">
        <f>(AK77-AJ77)/AJ77</f>
        <v>0.023381692778059283</v>
      </c>
      <c r="AM77" s="509">
        <f>SUM(AM8:AM76)</f>
        <v>80515819589.95</v>
      </c>
      <c r="AN77" s="518">
        <f>ROUND(AG77/$AK77,4)</f>
        <v>0.019</v>
      </c>
      <c r="AO77" s="518">
        <f>ROUND(AH77/$AK77,4)</f>
        <v>0.0006</v>
      </c>
      <c r="AP77" s="580">
        <f>SUM(AP8:AP76)</f>
        <v>43128544</v>
      </c>
      <c r="AQ77" s="203">
        <f>SUM(AQ8:AQ76)</f>
        <v>2682864042.8900003</v>
      </c>
      <c r="AR77" s="203">
        <f>ROUND(AQ77/'Table 3 Levels 1&amp;2'!C77,2)</f>
        <v>4125.64</v>
      </c>
    </row>
    <row r="78" spans="9:35" ht="13.5" thickTop="1">
      <c r="I78" s="95"/>
      <c r="AI78" s="689"/>
    </row>
    <row r="79" spans="4:35" ht="12.75" hidden="1">
      <c r="D79" s="395"/>
      <c r="Q79" s="77">
        <f>J77+L77+P77</f>
        <v>852322575</v>
      </c>
      <c r="AF79" s="797"/>
      <c r="AI79" s="690" t="s">
        <v>610</v>
      </c>
    </row>
    <row r="80" spans="5:43" ht="12.75" hidden="1">
      <c r="E80" s="77"/>
      <c r="J80" s="77"/>
      <c r="AD80" s="442"/>
      <c r="AF80" s="384"/>
      <c r="AI80" s="689" t="s">
        <v>611</v>
      </c>
      <c r="AJ80" s="208"/>
      <c r="AK80" s="208"/>
      <c r="AL80" s="208"/>
      <c r="AM80" s="208"/>
      <c r="AQ80" s="208"/>
    </row>
    <row r="81" spans="1:45" s="95" customFormat="1" ht="12.75" hidden="1">
      <c r="A81" s="676"/>
      <c r="B81" s="216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42"/>
      <c r="AF81" s="341"/>
      <c r="AG81" s="628"/>
      <c r="AH81" s="629"/>
      <c r="AI81" s="628"/>
      <c r="AJ81" s="319"/>
      <c r="AK81" s="319"/>
      <c r="AL81" s="341"/>
      <c r="AM81" s="319"/>
      <c r="AN81" s="261"/>
      <c r="AO81" s="261"/>
      <c r="AP81" s="319"/>
      <c r="AQ81" s="319"/>
      <c r="AR81" s="319"/>
      <c r="AS81" s="225"/>
    </row>
    <row r="82" spans="31:45" ht="12.75" hidden="1">
      <c r="AE82" s="42"/>
      <c r="AF82" s="42"/>
      <c r="AG82" s="630"/>
      <c r="AH82" s="42"/>
      <c r="AI82" s="630"/>
      <c r="AJ82" s="42"/>
      <c r="AK82" s="42"/>
      <c r="AL82" s="42"/>
      <c r="AM82" s="631"/>
      <c r="AN82" s="42"/>
      <c r="AO82" s="42"/>
      <c r="AP82" s="42"/>
      <c r="AQ82" s="42"/>
      <c r="AR82" s="42"/>
      <c r="AS82" s="42"/>
    </row>
    <row r="83" spans="31:45" ht="12.75" hidden="1">
      <c r="AE83" s="42"/>
      <c r="AF83" s="42"/>
      <c r="AG83" s="630"/>
      <c r="AH83" s="42"/>
      <c r="AI83" s="630"/>
      <c r="AJ83" s="42"/>
      <c r="AK83" s="42"/>
      <c r="AL83" s="42"/>
      <c r="AM83" s="632"/>
      <c r="AN83" s="42"/>
      <c r="AO83" s="42"/>
      <c r="AP83" s="42"/>
      <c r="AQ83" s="42"/>
      <c r="AR83" s="42"/>
      <c r="AS83" s="42"/>
    </row>
    <row r="84" spans="31:45" ht="12.75" hidden="1"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31:45" ht="12.75" hidden="1"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31:45" ht="12.75" hidden="1"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ht="12.75" hidden="1"/>
  </sheetData>
  <sheetProtection/>
  <mergeCells count="50">
    <mergeCell ref="X3:X5"/>
    <mergeCell ref="Y3:AD3"/>
    <mergeCell ref="AP3:AP5"/>
    <mergeCell ref="AF3:AH3"/>
    <mergeCell ref="AJ3:AO3"/>
    <mergeCell ref="AC4:AC5"/>
    <mergeCell ref="AD4:AD5"/>
    <mergeCell ref="AL4:AL5"/>
    <mergeCell ref="AN4:AN5"/>
    <mergeCell ref="Y4:Y5"/>
    <mergeCell ref="L4:L5"/>
    <mergeCell ref="O4:O5"/>
    <mergeCell ref="A3:A5"/>
    <mergeCell ref="B3:B5"/>
    <mergeCell ref="C4:C5"/>
    <mergeCell ref="D4:D5"/>
    <mergeCell ref="F4:F5"/>
    <mergeCell ref="E4:E5"/>
    <mergeCell ref="G4:G5"/>
    <mergeCell ref="I4:I5"/>
    <mergeCell ref="R3:W3"/>
    <mergeCell ref="T4:T5"/>
    <mergeCell ref="U4:U5"/>
    <mergeCell ref="C2:D2"/>
    <mergeCell ref="I3:J3"/>
    <mergeCell ref="K3:P3"/>
    <mergeCell ref="C3:H3"/>
    <mergeCell ref="V4:V5"/>
    <mergeCell ref="W4:W5"/>
    <mergeCell ref="K4:K5"/>
    <mergeCell ref="AG4:AG5"/>
    <mergeCell ref="AH4:AH5"/>
    <mergeCell ref="AO4:AO5"/>
    <mergeCell ref="J4:J5"/>
    <mergeCell ref="S4:S5"/>
    <mergeCell ref="M4:M5"/>
    <mergeCell ref="N4:N5"/>
    <mergeCell ref="P4:P5"/>
    <mergeCell ref="R4:R5"/>
    <mergeCell ref="Q3:Q5"/>
    <mergeCell ref="Z4:Z5"/>
    <mergeCell ref="AA4:AA5"/>
    <mergeCell ref="AB4:AB5"/>
    <mergeCell ref="AR3:AR5"/>
    <mergeCell ref="AQ3:AQ5"/>
    <mergeCell ref="AI3:AI5"/>
    <mergeCell ref="AE3:AE5"/>
    <mergeCell ref="AJ4:AJ5"/>
    <mergeCell ref="AK4:AK5"/>
    <mergeCell ref="AF4:AF5"/>
  </mergeCells>
  <printOptions horizontalCentered="1"/>
  <pageMargins left="0.19" right="0.19" top="1.02" bottom="0.35" header="0.35" footer="0.27"/>
  <pageSetup firstPageNumber="28" useFirstPageNumber="1" fitToWidth="0" horizontalDpi="600" verticalDpi="600" orientation="portrait" paperSize="5" scale="85" r:id="rId1"/>
  <headerFooter alignWithMargins="0">
    <oddHeader>&amp;L&amp;"Arial,Bold"&amp;18Table 7: FY2009-2010 Budget Letter &amp;20
&amp;18FY2007-2008 Local Property and Sales Tax Revenues</oddHeader>
    <oddFooter>&amp;R&amp;12&amp;P</oddFooter>
  </headerFooter>
  <colBreaks count="5" manualBreakCount="5">
    <brk id="8" min="2" max="76" man="1"/>
    <brk id="17" min="2" max="76" man="1"/>
    <brk id="24" min="2" max="76" man="1"/>
    <brk id="31" min="2" max="76" man="1"/>
    <brk id="35" min="2" max="7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54"/>
  <sheetViews>
    <sheetView view="pageBreakPreview" zoomScale="75" zoomScaleNormal="85" zoomScaleSheetLayoutView="75" zoomScalePageLayoutView="0" workbookViewId="0" topLeftCell="A1">
      <pane xSplit="2" ySplit="4" topLeftCell="R56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R12" sqref="R12:R49"/>
    </sheetView>
  </sheetViews>
  <sheetFormatPr defaultColWidth="9.140625" defaultRowHeight="12.75"/>
  <cols>
    <col min="1" max="1" width="4.421875" style="0" customWidth="1"/>
    <col min="2" max="2" width="52.00390625" style="0" customWidth="1"/>
    <col min="3" max="17" width="12.00390625" style="0" hidden="1" customWidth="1"/>
    <col min="18" max="18" width="13.8515625" style="2" bestFit="1" customWidth="1"/>
    <col min="19" max="19" width="11.57421875" style="0" bestFit="1" customWidth="1"/>
    <col min="20" max="20" width="7.421875" style="0" bestFit="1" customWidth="1"/>
    <col min="21" max="21" width="7.8515625" style="0" bestFit="1" customWidth="1"/>
    <col min="23" max="23" width="10.140625" style="0" bestFit="1" customWidth="1"/>
    <col min="24" max="24" width="14.140625" style="0" customWidth="1"/>
    <col min="25" max="25" width="15.28125" style="0" hidden="1" customWidth="1"/>
    <col min="26" max="26" width="1.8515625" style="0" hidden="1" customWidth="1"/>
    <col min="27" max="28" width="15.28125" style="0" hidden="1" customWidth="1"/>
  </cols>
  <sheetData>
    <row r="2" spans="1:28" ht="42.75" customHeight="1">
      <c r="A2" s="1454" t="s">
        <v>408</v>
      </c>
      <c r="B2" s="1453" t="s">
        <v>442</v>
      </c>
      <c r="C2" s="1456" t="s">
        <v>205</v>
      </c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8"/>
      <c r="R2" s="1453" t="s">
        <v>46</v>
      </c>
      <c r="S2" s="1459" t="s">
        <v>43</v>
      </c>
      <c r="T2" s="1453" t="s">
        <v>396</v>
      </c>
      <c r="U2" s="1453" t="s">
        <v>292</v>
      </c>
      <c r="V2" s="1460" t="s">
        <v>397</v>
      </c>
      <c r="W2" s="1460" t="s">
        <v>398</v>
      </c>
      <c r="Y2" s="1453" t="s">
        <v>202</v>
      </c>
      <c r="AA2" s="1453" t="s">
        <v>200</v>
      </c>
      <c r="AB2" s="1453" t="s">
        <v>201</v>
      </c>
    </row>
    <row r="3" spans="1:28" ht="35.25" customHeight="1">
      <c r="A3" s="1455"/>
      <c r="B3" s="1453"/>
      <c r="C3" s="798" t="s">
        <v>164</v>
      </c>
      <c r="D3" s="798" t="s">
        <v>617</v>
      </c>
      <c r="E3" s="798" t="s">
        <v>165</v>
      </c>
      <c r="F3" s="798">
        <v>1</v>
      </c>
      <c r="G3" s="798">
        <v>2</v>
      </c>
      <c r="H3" s="798">
        <v>3</v>
      </c>
      <c r="I3" s="798">
        <v>4</v>
      </c>
      <c r="J3" s="798">
        <v>5</v>
      </c>
      <c r="K3" s="798">
        <v>6</v>
      </c>
      <c r="L3" s="798">
        <v>7</v>
      </c>
      <c r="M3" s="798">
        <v>8</v>
      </c>
      <c r="N3" s="798">
        <v>9</v>
      </c>
      <c r="O3" s="798">
        <v>10</v>
      </c>
      <c r="P3" s="798">
        <v>11</v>
      </c>
      <c r="Q3" s="798">
        <v>12</v>
      </c>
      <c r="R3" s="1453"/>
      <c r="S3" s="1453"/>
      <c r="T3" s="1453"/>
      <c r="U3" s="1453"/>
      <c r="V3" s="1460"/>
      <c r="W3" s="1460"/>
      <c r="Y3" s="1453"/>
      <c r="AA3" s="1453"/>
      <c r="AB3" s="1453"/>
    </row>
    <row r="4" spans="1:28" ht="12.75">
      <c r="A4" s="140"/>
      <c r="B4" s="312"/>
      <c r="C4" s="312">
        <v>1</v>
      </c>
      <c r="D4" s="312">
        <f>C4+1</f>
        <v>2</v>
      </c>
      <c r="E4" s="312">
        <f aca="true" t="shared" si="0" ref="E4:W4">D4+1</f>
        <v>3</v>
      </c>
      <c r="F4" s="312">
        <f t="shared" si="0"/>
        <v>4</v>
      </c>
      <c r="G4" s="312">
        <f t="shared" si="0"/>
        <v>5</v>
      </c>
      <c r="H4" s="312">
        <f t="shared" si="0"/>
        <v>6</v>
      </c>
      <c r="I4" s="312">
        <f t="shared" si="0"/>
        <v>7</v>
      </c>
      <c r="J4" s="312">
        <f t="shared" si="0"/>
        <v>8</v>
      </c>
      <c r="K4" s="312">
        <f t="shared" si="0"/>
        <v>9</v>
      </c>
      <c r="L4" s="312">
        <f t="shared" si="0"/>
        <v>10</v>
      </c>
      <c r="M4" s="312">
        <f t="shared" si="0"/>
        <v>11</v>
      </c>
      <c r="N4" s="312">
        <f t="shared" si="0"/>
        <v>12</v>
      </c>
      <c r="O4" s="312">
        <f t="shared" si="0"/>
        <v>13</v>
      </c>
      <c r="P4" s="312">
        <f t="shared" si="0"/>
        <v>14</v>
      </c>
      <c r="Q4" s="312">
        <f t="shared" si="0"/>
        <v>15</v>
      </c>
      <c r="R4" s="312">
        <v>1</v>
      </c>
      <c r="S4" s="312">
        <f t="shared" si="0"/>
        <v>2</v>
      </c>
      <c r="T4" s="312">
        <f t="shared" si="0"/>
        <v>3</v>
      </c>
      <c r="U4" s="312">
        <f t="shared" si="0"/>
        <v>4</v>
      </c>
      <c r="V4" s="312">
        <f t="shared" si="0"/>
        <v>5</v>
      </c>
      <c r="W4" s="312">
        <f t="shared" si="0"/>
        <v>6</v>
      </c>
      <c r="X4" s="312"/>
      <c r="Y4" s="312"/>
      <c r="Z4" s="312"/>
      <c r="AA4" s="370"/>
      <c r="AB4" s="370"/>
    </row>
    <row r="5" spans="1:28" ht="12.75">
      <c r="A5" s="124">
        <v>1</v>
      </c>
      <c r="B5" s="124" t="s">
        <v>501</v>
      </c>
      <c r="C5" s="816">
        <v>39</v>
      </c>
      <c r="D5" s="817">
        <v>86</v>
      </c>
      <c r="E5" s="817">
        <v>752</v>
      </c>
      <c r="F5" s="817">
        <v>804</v>
      </c>
      <c r="G5" s="817">
        <v>744</v>
      </c>
      <c r="H5" s="817">
        <v>770</v>
      </c>
      <c r="I5" s="817">
        <v>829</v>
      </c>
      <c r="J5" s="817">
        <v>716</v>
      </c>
      <c r="K5" s="817">
        <v>637</v>
      </c>
      <c r="L5" s="817">
        <v>684</v>
      </c>
      <c r="M5" s="817">
        <v>646</v>
      </c>
      <c r="N5" s="817">
        <v>649</v>
      </c>
      <c r="O5" s="817">
        <v>551</v>
      </c>
      <c r="P5" s="817">
        <v>527</v>
      </c>
      <c r="Q5" s="817">
        <v>505</v>
      </c>
      <c r="R5" s="761">
        <f>SUM(C5:Q5)</f>
        <v>8939</v>
      </c>
      <c r="S5" s="56">
        <f>'[15]Base Membership'!E8</f>
        <v>8993</v>
      </c>
      <c r="T5" s="56">
        <f aca="true" t="shared" si="1" ref="T5:T68">+R5-S5</f>
        <v>-54</v>
      </c>
      <c r="U5" s="269">
        <f>ROUND(T5/S5,4)</f>
        <v>-0.006</v>
      </c>
      <c r="V5" s="56">
        <f>IF(T5&gt;0,T5,0)</f>
        <v>0</v>
      </c>
      <c r="W5" s="56">
        <f>IF(T5&lt;0,T5,0)</f>
        <v>-54</v>
      </c>
      <c r="X5" s="208"/>
      <c r="Y5" s="761">
        <v>5645</v>
      </c>
      <c r="AA5" s="761">
        <v>1243</v>
      </c>
      <c r="AB5" s="761">
        <v>78</v>
      </c>
    </row>
    <row r="6" spans="1:28" ht="12.75">
      <c r="A6" s="124">
        <v>2</v>
      </c>
      <c r="B6" s="124" t="s">
        <v>502</v>
      </c>
      <c r="C6" s="818">
        <v>0</v>
      </c>
      <c r="D6" s="418">
        <v>32</v>
      </c>
      <c r="E6" s="418">
        <v>331</v>
      </c>
      <c r="F6" s="418">
        <v>357</v>
      </c>
      <c r="G6" s="418">
        <v>306</v>
      </c>
      <c r="H6" s="418">
        <v>346</v>
      </c>
      <c r="I6" s="418">
        <v>358</v>
      </c>
      <c r="J6" s="418">
        <v>284</v>
      </c>
      <c r="K6" s="418">
        <v>282</v>
      </c>
      <c r="L6" s="418">
        <v>344</v>
      </c>
      <c r="M6" s="418">
        <v>347</v>
      </c>
      <c r="N6" s="418">
        <v>294</v>
      </c>
      <c r="O6" s="418">
        <v>245</v>
      </c>
      <c r="P6" s="418">
        <v>247</v>
      </c>
      <c r="Q6" s="418">
        <v>222</v>
      </c>
      <c r="R6" s="761">
        <f aca="true" t="shared" si="2" ref="R6:R69">SUM(C6:Q6)</f>
        <v>3995</v>
      </c>
      <c r="S6" s="56">
        <f>'[15]Base Membership'!E9</f>
        <v>4046</v>
      </c>
      <c r="T6" s="56">
        <f t="shared" si="1"/>
        <v>-51</v>
      </c>
      <c r="U6" s="269">
        <f aca="true" t="shared" si="3" ref="U6:U69">ROUND(T6/S6,4)</f>
        <v>-0.0126</v>
      </c>
      <c r="V6" s="56">
        <f aca="true" t="shared" si="4" ref="V6:V69">IF(T6&gt;0,T6,0)</f>
        <v>0</v>
      </c>
      <c r="W6" s="56">
        <f aca="true" t="shared" si="5" ref="W6:W69">IF(T6&lt;0,T6,0)</f>
        <v>-51</v>
      </c>
      <c r="Y6" s="761">
        <v>2442</v>
      </c>
      <c r="AA6" s="761">
        <v>461</v>
      </c>
      <c r="AB6" s="761">
        <v>46</v>
      </c>
    </row>
    <row r="7" spans="1:28" ht="12.75">
      <c r="A7" s="124">
        <v>3</v>
      </c>
      <c r="B7" s="124" t="s">
        <v>503</v>
      </c>
      <c r="C7" s="818">
        <v>0</v>
      </c>
      <c r="D7" s="418">
        <v>197</v>
      </c>
      <c r="E7" s="418">
        <v>1438</v>
      </c>
      <c r="F7" s="418">
        <v>1464</v>
      </c>
      <c r="G7" s="418">
        <v>1544</v>
      </c>
      <c r="H7" s="418">
        <v>1590</v>
      </c>
      <c r="I7" s="418">
        <v>1624</v>
      </c>
      <c r="J7" s="418">
        <v>1356</v>
      </c>
      <c r="K7" s="418">
        <v>1418</v>
      </c>
      <c r="L7" s="418">
        <v>1442</v>
      </c>
      <c r="M7" s="418">
        <v>1455</v>
      </c>
      <c r="N7" s="418">
        <v>1593</v>
      </c>
      <c r="O7" s="418">
        <v>1296</v>
      </c>
      <c r="P7" s="418">
        <v>1130</v>
      </c>
      <c r="Q7" s="418">
        <v>1115</v>
      </c>
      <c r="R7" s="762">
        <f t="shared" si="2"/>
        <v>18662</v>
      </c>
      <c r="S7" s="56">
        <f>'[15]Base Membership'!E10</f>
        <v>18194</v>
      </c>
      <c r="T7" s="56">
        <f t="shared" si="1"/>
        <v>468</v>
      </c>
      <c r="U7" s="269">
        <f t="shared" si="3"/>
        <v>0.0257</v>
      </c>
      <c r="V7" s="56">
        <f t="shared" si="4"/>
        <v>468</v>
      </c>
      <c r="W7" s="56">
        <f t="shared" si="5"/>
        <v>0</v>
      </c>
      <c r="Y7" s="762">
        <v>7922</v>
      </c>
      <c r="AA7" s="762">
        <v>2309</v>
      </c>
      <c r="AB7" s="762">
        <v>376</v>
      </c>
    </row>
    <row r="8" spans="1:28" ht="12.75">
      <c r="A8" s="124">
        <v>4</v>
      </c>
      <c r="B8" s="124" t="s">
        <v>504</v>
      </c>
      <c r="C8" s="818">
        <v>0</v>
      </c>
      <c r="D8" s="418">
        <v>55</v>
      </c>
      <c r="E8" s="418">
        <v>244</v>
      </c>
      <c r="F8" s="418">
        <v>286</v>
      </c>
      <c r="G8" s="418">
        <v>290</v>
      </c>
      <c r="H8" s="418">
        <v>273</v>
      </c>
      <c r="I8" s="418">
        <v>313</v>
      </c>
      <c r="J8" s="418">
        <v>299</v>
      </c>
      <c r="K8" s="418">
        <v>262</v>
      </c>
      <c r="L8" s="418">
        <v>281</v>
      </c>
      <c r="M8" s="418">
        <v>312</v>
      </c>
      <c r="N8" s="418">
        <v>324</v>
      </c>
      <c r="O8" s="418">
        <v>280</v>
      </c>
      <c r="P8" s="418">
        <v>319</v>
      </c>
      <c r="Q8" s="418">
        <v>223</v>
      </c>
      <c r="R8" s="762">
        <f t="shared" si="2"/>
        <v>3761</v>
      </c>
      <c r="S8" s="56">
        <f>'[15]Base Membership'!E11</f>
        <v>3871</v>
      </c>
      <c r="T8" s="56">
        <f t="shared" si="1"/>
        <v>-110</v>
      </c>
      <c r="U8" s="269">
        <f t="shared" si="3"/>
        <v>-0.0284</v>
      </c>
      <c r="V8" s="56">
        <f t="shared" si="4"/>
        <v>0</v>
      </c>
      <c r="W8" s="56">
        <f t="shared" si="5"/>
        <v>-110</v>
      </c>
      <c r="Y8" s="762">
        <v>2317</v>
      </c>
      <c r="AA8" s="762">
        <v>542</v>
      </c>
      <c r="AB8" s="762">
        <v>81</v>
      </c>
    </row>
    <row r="9" spans="1:28" ht="12.75">
      <c r="A9" s="125">
        <v>5</v>
      </c>
      <c r="B9" s="125" t="s">
        <v>505</v>
      </c>
      <c r="C9" s="819">
        <v>56</v>
      </c>
      <c r="D9" s="426">
        <v>64</v>
      </c>
      <c r="E9" s="426">
        <v>473</v>
      </c>
      <c r="F9" s="426">
        <v>498</v>
      </c>
      <c r="G9" s="426">
        <v>495</v>
      </c>
      <c r="H9" s="426">
        <v>478</v>
      </c>
      <c r="I9" s="426">
        <v>546</v>
      </c>
      <c r="J9" s="426">
        <v>420</v>
      </c>
      <c r="K9" s="426">
        <v>369</v>
      </c>
      <c r="L9" s="426">
        <v>468</v>
      </c>
      <c r="M9" s="426">
        <v>460</v>
      </c>
      <c r="N9" s="426">
        <v>530</v>
      </c>
      <c r="O9" s="426">
        <v>390</v>
      </c>
      <c r="P9" s="426">
        <v>323</v>
      </c>
      <c r="Q9" s="426">
        <v>347</v>
      </c>
      <c r="R9" s="763">
        <f t="shared" si="2"/>
        <v>5917</v>
      </c>
      <c r="S9" s="57">
        <f>'[15]Base Membership'!E12</f>
        <v>5865</v>
      </c>
      <c r="T9" s="57">
        <f t="shared" si="1"/>
        <v>52</v>
      </c>
      <c r="U9" s="270">
        <f t="shared" si="3"/>
        <v>0.0089</v>
      </c>
      <c r="V9" s="57">
        <f t="shared" si="4"/>
        <v>52</v>
      </c>
      <c r="W9" s="57">
        <f t="shared" si="5"/>
        <v>0</v>
      </c>
      <c r="Y9" s="763">
        <v>4906</v>
      </c>
      <c r="AA9" s="763">
        <v>656</v>
      </c>
      <c r="AB9" s="763">
        <v>11</v>
      </c>
    </row>
    <row r="10" spans="1:28" ht="12.75">
      <c r="A10" s="124">
        <v>6</v>
      </c>
      <c r="B10" s="124" t="s">
        <v>506</v>
      </c>
      <c r="C10" s="818">
        <v>0</v>
      </c>
      <c r="D10" s="418">
        <v>91</v>
      </c>
      <c r="E10" s="418">
        <v>457</v>
      </c>
      <c r="F10" s="418">
        <v>467</v>
      </c>
      <c r="G10" s="418">
        <v>479</v>
      </c>
      <c r="H10" s="418">
        <v>479</v>
      </c>
      <c r="I10" s="418">
        <v>454</v>
      </c>
      <c r="J10" s="418">
        <v>440</v>
      </c>
      <c r="K10" s="418">
        <v>446</v>
      </c>
      <c r="L10" s="418">
        <v>481</v>
      </c>
      <c r="M10" s="418">
        <v>454</v>
      </c>
      <c r="N10" s="418">
        <v>500</v>
      </c>
      <c r="O10" s="418">
        <v>431</v>
      </c>
      <c r="P10" s="418">
        <v>390</v>
      </c>
      <c r="Q10" s="418">
        <v>341</v>
      </c>
      <c r="R10" s="761">
        <f t="shared" si="2"/>
        <v>5910</v>
      </c>
      <c r="S10" s="56">
        <f>'[15]Base Membership'!E13</f>
        <v>6024</v>
      </c>
      <c r="T10" s="56">
        <f t="shared" si="1"/>
        <v>-114</v>
      </c>
      <c r="U10" s="269">
        <f t="shared" si="3"/>
        <v>-0.0189</v>
      </c>
      <c r="V10" s="56">
        <f t="shared" si="4"/>
        <v>0</v>
      </c>
      <c r="W10" s="56">
        <f t="shared" si="5"/>
        <v>-114</v>
      </c>
      <c r="Y10" s="761">
        <v>3032</v>
      </c>
      <c r="AA10" s="761">
        <v>928</v>
      </c>
      <c r="AB10" s="761">
        <v>95</v>
      </c>
    </row>
    <row r="11" spans="1:28" ht="12.75">
      <c r="A11" s="124">
        <v>7</v>
      </c>
      <c r="B11" s="124" t="s">
        <v>507</v>
      </c>
      <c r="C11" s="818">
        <v>0</v>
      </c>
      <c r="D11" s="418">
        <v>14</v>
      </c>
      <c r="E11" s="418">
        <v>142</v>
      </c>
      <c r="F11" s="418">
        <v>176</v>
      </c>
      <c r="G11" s="418">
        <v>185</v>
      </c>
      <c r="H11" s="418">
        <v>154</v>
      </c>
      <c r="I11" s="418">
        <v>166</v>
      </c>
      <c r="J11" s="418">
        <v>188</v>
      </c>
      <c r="K11" s="418">
        <v>162</v>
      </c>
      <c r="L11" s="418">
        <v>158</v>
      </c>
      <c r="M11" s="418">
        <v>182</v>
      </c>
      <c r="N11" s="418">
        <v>165</v>
      </c>
      <c r="O11" s="418">
        <v>139</v>
      </c>
      <c r="P11" s="418">
        <v>149</v>
      </c>
      <c r="Q11" s="418">
        <v>142</v>
      </c>
      <c r="R11" s="761">
        <f t="shared" si="2"/>
        <v>2122</v>
      </c>
      <c r="S11" s="56">
        <f>'[15]Base Membership'!E14</f>
        <v>2186</v>
      </c>
      <c r="T11" s="56">
        <f t="shared" si="1"/>
        <v>-64</v>
      </c>
      <c r="U11" s="269">
        <f t="shared" si="3"/>
        <v>-0.0293</v>
      </c>
      <c r="V11" s="56">
        <f t="shared" si="4"/>
        <v>0</v>
      </c>
      <c r="W11" s="56">
        <f t="shared" si="5"/>
        <v>-64</v>
      </c>
      <c r="Y11" s="761">
        <v>1528</v>
      </c>
      <c r="AA11" s="761">
        <v>227</v>
      </c>
      <c r="AB11" s="761">
        <v>8</v>
      </c>
    </row>
    <row r="12" spans="1:28" ht="12.75">
      <c r="A12" s="124">
        <v>8</v>
      </c>
      <c r="B12" s="124" t="s">
        <v>508</v>
      </c>
      <c r="C12" s="818">
        <v>0</v>
      </c>
      <c r="D12" s="418">
        <v>216</v>
      </c>
      <c r="E12" s="418">
        <v>1672</v>
      </c>
      <c r="F12" s="418">
        <v>1722</v>
      </c>
      <c r="G12" s="418">
        <v>1612</v>
      </c>
      <c r="H12" s="418">
        <v>1632</v>
      </c>
      <c r="I12" s="418">
        <v>1608</v>
      </c>
      <c r="J12" s="418">
        <v>1407</v>
      </c>
      <c r="K12" s="418">
        <v>1462</v>
      </c>
      <c r="L12" s="418">
        <v>1487</v>
      </c>
      <c r="M12" s="418">
        <v>1502</v>
      </c>
      <c r="N12" s="418">
        <v>1430</v>
      </c>
      <c r="O12" s="418">
        <v>1305</v>
      </c>
      <c r="P12" s="418">
        <v>1186</v>
      </c>
      <c r="Q12" s="418">
        <v>1041</v>
      </c>
      <c r="R12" s="1269">
        <f t="shared" si="2"/>
        <v>19282</v>
      </c>
      <c r="S12" s="56">
        <f>'[15]Base Membership'!E15</f>
        <v>19163</v>
      </c>
      <c r="T12" s="56">
        <f t="shared" si="1"/>
        <v>119</v>
      </c>
      <c r="U12" s="269">
        <f t="shared" si="3"/>
        <v>0.0062</v>
      </c>
      <c r="V12" s="56">
        <f t="shared" si="4"/>
        <v>119</v>
      </c>
      <c r="W12" s="56">
        <f t="shared" si="5"/>
        <v>0</v>
      </c>
      <c r="Y12" s="762">
        <v>8655</v>
      </c>
      <c r="AA12" s="762">
        <v>2221</v>
      </c>
      <c r="AB12" s="762">
        <v>522</v>
      </c>
    </row>
    <row r="13" spans="1:28" ht="12.75">
      <c r="A13" s="124">
        <v>9</v>
      </c>
      <c r="B13" s="124" t="s">
        <v>509</v>
      </c>
      <c r="C13" s="818">
        <v>24</v>
      </c>
      <c r="D13" s="418">
        <v>428</v>
      </c>
      <c r="E13" s="418">
        <v>3424</v>
      </c>
      <c r="F13" s="418">
        <v>3508</v>
      </c>
      <c r="G13" s="418">
        <v>3500</v>
      </c>
      <c r="H13" s="418">
        <v>3392</v>
      </c>
      <c r="I13" s="418">
        <v>3712</v>
      </c>
      <c r="J13" s="418">
        <v>3053</v>
      </c>
      <c r="K13" s="418">
        <v>2851</v>
      </c>
      <c r="L13" s="418">
        <v>3155</v>
      </c>
      <c r="M13" s="418">
        <v>3422</v>
      </c>
      <c r="N13" s="418">
        <v>3524</v>
      </c>
      <c r="O13" s="418">
        <v>2539</v>
      </c>
      <c r="P13" s="418">
        <v>2554</v>
      </c>
      <c r="Q13" s="418">
        <v>2284</v>
      </c>
      <c r="R13" s="1269">
        <f t="shared" si="2"/>
        <v>41370</v>
      </c>
      <c r="S13" s="56">
        <f>'[15]Base Membership'!E16</f>
        <v>41416</v>
      </c>
      <c r="T13" s="56">
        <f t="shared" si="1"/>
        <v>-46</v>
      </c>
      <c r="U13" s="269">
        <f t="shared" si="3"/>
        <v>-0.0011</v>
      </c>
      <c r="V13" s="56">
        <f t="shared" si="4"/>
        <v>0</v>
      </c>
      <c r="W13" s="56">
        <f t="shared" si="5"/>
        <v>-46</v>
      </c>
      <c r="Y13" s="762">
        <v>26745</v>
      </c>
      <c r="AA13" s="762">
        <v>4554</v>
      </c>
      <c r="AB13" s="762">
        <v>1735</v>
      </c>
    </row>
    <row r="14" spans="1:28" ht="12.75">
      <c r="A14" s="125">
        <v>10</v>
      </c>
      <c r="B14" s="125" t="s">
        <v>510</v>
      </c>
      <c r="C14" s="819">
        <v>14</v>
      </c>
      <c r="D14" s="426">
        <v>344</v>
      </c>
      <c r="E14" s="426">
        <v>2501</v>
      </c>
      <c r="F14" s="426">
        <v>2590</v>
      </c>
      <c r="G14" s="426">
        <v>2568</v>
      </c>
      <c r="H14" s="426">
        <v>2629</v>
      </c>
      <c r="I14" s="426">
        <v>2630</v>
      </c>
      <c r="J14" s="426">
        <v>2238</v>
      </c>
      <c r="K14" s="426">
        <v>2297</v>
      </c>
      <c r="L14" s="426">
        <v>2223</v>
      </c>
      <c r="M14" s="426">
        <v>2519</v>
      </c>
      <c r="N14" s="426">
        <v>2549</v>
      </c>
      <c r="O14" s="426">
        <v>2089</v>
      </c>
      <c r="P14" s="426">
        <v>1908</v>
      </c>
      <c r="Q14" s="426">
        <v>1783</v>
      </c>
      <c r="R14" s="1270">
        <f t="shared" si="2"/>
        <v>30882</v>
      </c>
      <c r="S14" s="57">
        <f>'[15]Base Membership'!E17</f>
        <v>30771</v>
      </c>
      <c r="T14" s="57">
        <f t="shared" si="1"/>
        <v>111</v>
      </c>
      <c r="U14" s="270">
        <f t="shared" si="3"/>
        <v>0.0036</v>
      </c>
      <c r="V14" s="57">
        <f t="shared" si="4"/>
        <v>111</v>
      </c>
      <c r="W14" s="57">
        <f t="shared" si="5"/>
        <v>0</v>
      </c>
      <c r="Y14" s="763">
        <v>17858</v>
      </c>
      <c r="AA14" s="763">
        <v>5168</v>
      </c>
      <c r="AB14" s="763">
        <v>1076</v>
      </c>
    </row>
    <row r="15" spans="1:28" ht="12.75">
      <c r="A15" s="124">
        <v>11</v>
      </c>
      <c r="B15" s="124" t="s">
        <v>511</v>
      </c>
      <c r="C15" s="818">
        <v>0</v>
      </c>
      <c r="D15" s="418">
        <v>29</v>
      </c>
      <c r="E15" s="418">
        <v>138</v>
      </c>
      <c r="F15" s="418">
        <v>136</v>
      </c>
      <c r="G15" s="418">
        <v>134</v>
      </c>
      <c r="H15" s="418">
        <v>133</v>
      </c>
      <c r="I15" s="418">
        <v>125</v>
      </c>
      <c r="J15" s="418">
        <v>102</v>
      </c>
      <c r="K15" s="418">
        <v>121</v>
      </c>
      <c r="L15" s="418">
        <v>135</v>
      </c>
      <c r="M15" s="418">
        <v>111</v>
      </c>
      <c r="N15" s="418">
        <v>140</v>
      </c>
      <c r="O15" s="418">
        <v>106</v>
      </c>
      <c r="P15" s="418">
        <v>111</v>
      </c>
      <c r="Q15" s="418">
        <v>112</v>
      </c>
      <c r="R15" s="1269">
        <f t="shared" si="2"/>
        <v>1633</v>
      </c>
      <c r="S15" s="56">
        <f>'[15]Base Membership'!E18</f>
        <v>1664</v>
      </c>
      <c r="T15" s="56">
        <f t="shared" si="1"/>
        <v>-31</v>
      </c>
      <c r="U15" s="269">
        <f t="shared" si="3"/>
        <v>-0.0186</v>
      </c>
      <c r="V15" s="56">
        <f t="shared" si="4"/>
        <v>0</v>
      </c>
      <c r="W15" s="56">
        <f t="shared" si="5"/>
        <v>-31</v>
      </c>
      <c r="Y15" s="761">
        <v>1095</v>
      </c>
      <c r="AA15" s="761">
        <v>245</v>
      </c>
      <c r="AB15" s="761">
        <v>36</v>
      </c>
    </row>
    <row r="16" spans="1:28" ht="12.75">
      <c r="A16" s="124">
        <v>12</v>
      </c>
      <c r="B16" s="124" t="s">
        <v>512</v>
      </c>
      <c r="C16" s="818">
        <v>0</v>
      </c>
      <c r="D16" s="418">
        <v>25</v>
      </c>
      <c r="E16" s="418">
        <v>91</v>
      </c>
      <c r="F16" s="418">
        <v>95</v>
      </c>
      <c r="G16" s="418">
        <v>114</v>
      </c>
      <c r="H16" s="418">
        <v>97</v>
      </c>
      <c r="I16" s="418">
        <v>97</v>
      </c>
      <c r="J16" s="418">
        <v>110</v>
      </c>
      <c r="K16" s="418">
        <v>94</v>
      </c>
      <c r="L16" s="418">
        <v>90</v>
      </c>
      <c r="M16" s="418">
        <v>125</v>
      </c>
      <c r="N16" s="418">
        <v>87</v>
      </c>
      <c r="O16" s="418">
        <v>77</v>
      </c>
      <c r="P16" s="418">
        <v>105</v>
      </c>
      <c r="Q16" s="418">
        <v>100</v>
      </c>
      <c r="R16" s="1269">
        <f t="shared" si="2"/>
        <v>1307</v>
      </c>
      <c r="S16" s="925">
        <f>'[15]Base Membership'!E19</f>
        <v>1484</v>
      </c>
      <c r="T16" s="56">
        <f t="shared" si="1"/>
        <v>-177</v>
      </c>
      <c r="U16" s="269">
        <f t="shared" si="3"/>
        <v>-0.1193</v>
      </c>
      <c r="V16" s="56">
        <f t="shared" si="4"/>
        <v>0</v>
      </c>
      <c r="W16" s="56">
        <f t="shared" si="5"/>
        <v>-177</v>
      </c>
      <c r="Y16" s="761">
        <v>827</v>
      </c>
      <c r="AA16" s="761">
        <v>196</v>
      </c>
      <c r="AB16" s="761">
        <v>109</v>
      </c>
    </row>
    <row r="17" spans="1:28" ht="12.75">
      <c r="A17" s="124">
        <v>13</v>
      </c>
      <c r="B17" s="124" t="s">
        <v>513</v>
      </c>
      <c r="C17" s="818">
        <v>0</v>
      </c>
      <c r="D17" s="418">
        <v>13</v>
      </c>
      <c r="E17" s="418">
        <v>153</v>
      </c>
      <c r="F17" s="418">
        <v>135</v>
      </c>
      <c r="G17" s="418">
        <v>114</v>
      </c>
      <c r="H17" s="418">
        <v>154</v>
      </c>
      <c r="I17" s="418">
        <v>134</v>
      </c>
      <c r="J17" s="418">
        <v>144</v>
      </c>
      <c r="K17" s="418">
        <v>118</v>
      </c>
      <c r="L17" s="418">
        <v>93</v>
      </c>
      <c r="M17" s="418">
        <v>117</v>
      </c>
      <c r="N17" s="418">
        <v>154</v>
      </c>
      <c r="O17" s="418">
        <v>89</v>
      </c>
      <c r="P17" s="418">
        <v>97</v>
      </c>
      <c r="Q17" s="418">
        <v>94</v>
      </c>
      <c r="R17" s="1269">
        <f t="shared" si="2"/>
        <v>1609</v>
      </c>
      <c r="S17" s="925">
        <f>'[15]Base Membership'!E20</f>
        <v>1685</v>
      </c>
      <c r="T17" s="56">
        <f t="shared" si="1"/>
        <v>-76</v>
      </c>
      <c r="U17" s="269">
        <f t="shared" si="3"/>
        <v>-0.0451</v>
      </c>
      <c r="V17" s="56">
        <f t="shared" si="4"/>
        <v>0</v>
      </c>
      <c r="W17" s="56">
        <f t="shared" si="5"/>
        <v>-76</v>
      </c>
      <c r="Y17" s="762">
        <v>1228</v>
      </c>
      <c r="AA17" s="762">
        <v>164</v>
      </c>
      <c r="AB17" s="762">
        <v>29</v>
      </c>
    </row>
    <row r="18" spans="1:28" ht="12.75">
      <c r="A18" s="124">
        <v>14</v>
      </c>
      <c r="B18" s="124" t="s">
        <v>514</v>
      </c>
      <c r="C18" s="818">
        <v>0</v>
      </c>
      <c r="D18" s="418">
        <v>7</v>
      </c>
      <c r="E18" s="418">
        <v>148</v>
      </c>
      <c r="F18" s="418">
        <v>160</v>
      </c>
      <c r="G18" s="418">
        <v>167</v>
      </c>
      <c r="H18" s="418">
        <v>165</v>
      </c>
      <c r="I18" s="418">
        <v>192</v>
      </c>
      <c r="J18" s="418">
        <v>186</v>
      </c>
      <c r="K18" s="418">
        <v>143</v>
      </c>
      <c r="L18" s="418">
        <v>197</v>
      </c>
      <c r="M18" s="418">
        <v>188</v>
      </c>
      <c r="N18" s="418">
        <v>207</v>
      </c>
      <c r="O18" s="418">
        <v>155</v>
      </c>
      <c r="P18" s="418">
        <v>163</v>
      </c>
      <c r="Q18" s="418">
        <v>156</v>
      </c>
      <c r="R18" s="1269">
        <f t="shared" si="2"/>
        <v>2234</v>
      </c>
      <c r="S18" s="925">
        <f>'[15]Base Membership'!E21</f>
        <v>2376</v>
      </c>
      <c r="T18" s="56">
        <f t="shared" si="1"/>
        <v>-142</v>
      </c>
      <c r="U18" s="269">
        <f t="shared" si="3"/>
        <v>-0.0598</v>
      </c>
      <c r="V18" s="56">
        <f t="shared" si="4"/>
        <v>0</v>
      </c>
      <c r="W18" s="56">
        <f t="shared" si="5"/>
        <v>-142</v>
      </c>
      <c r="Y18" s="762">
        <v>1631</v>
      </c>
      <c r="AA18" s="762">
        <v>380</v>
      </c>
      <c r="AB18" s="762">
        <v>108</v>
      </c>
    </row>
    <row r="19" spans="1:28" ht="12.75">
      <c r="A19" s="125">
        <v>15</v>
      </c>
      <c r="B19" s="125" t="s">
        <v>515</v>
      </c>
      <c r="C19" s="819">
        <v>0</v>
      </c>
      <c r="D19" s="426">
        <v>16</v>
      </c>
      <c r="E19" s="426">
        <v>288</v>
      </c>
      <c r="F19" s="426">
        <v>343</v>
      </c>
      <c r="G19" s="426">
        <v>300</v>
      </c>
      <c r="H19" s="426">
        <v>328</v>
      </c>
      <c r="I19" s="426">
        <v>403</v>
      </c>
      <c r="J19" s="426">
        <v>272</v>
      </c>
      <c r="K19" s="426">
        <v>316</v>
      </c>
      <c r="L19" s="426">
        <v>282</v>
      </c>
      <c r="M19" s="426">
        <v>291</v>
      </c>
      <c r="N19" s="426">
        <v>310</v>
      </c>
      <c r="O19" s="426">
        <v>209</v>
      </c>
      <c r="P19" s="426">
        <v>221</v>
      </c>
      <c r="Q19" s="426">
        <v>163</v>
      </c>
      <c r="R19" s="1270">
        <f t="shared" si="2"/>
        <v>3742</v>
      </c>
      <c r="S19" s="926">
        <f>'[15]Base Membership'!E22</f>
        <v>3888</v>
      </c>
      <c r="T19" s="57">
        <f t="shared" si="1"/>
        <v>-146</v>
      </c>
      <c r="U19" s="270">
        <f t="shared" si="3"/>
        <v>-0.0376</v>
      </c>
      <c r="V19" s="57">
        <f t="shared" si="4"/>
        <v>0</v>
      </c>
      <c r="W19" s="57">
        <f t="shared" si="5"/>
        <v>-146</v>
      </c>
      <c r="Y19" s="763">
        <v>2747</v>
      </c>
      <c r="AA19" s="763">
        <v>387</v>
      </c>
      <c r="AB19" s="763">
        <v>79</v>
      </c>
    </row>
    <row r="20" spans="1:28" ht="12.75">
      <c r="A20" s="124">
        <v>16</v>
      </c>
      <c r="B20" s="124" t="s">
        <v>516</v>
      </c>
      <c r="C20" s="818">
        <v>0</v>
      </c>
      <c r="D20" s="418">
        <v>53</v>
      </c>
      <c r="E20" s="418">
        <v>305</v>
      </c>
      <c r="F20" s="418">
        <v>348</v>
      </c>
      <c r="G20" s="418">
        <v>356</v>
      </c>
      <c r="H20" s="418">
        <v>397</v>
      </c>
      <c r="I20" s="418">
        <v>409</v>
      </c>
      <c r="J20" s="418">
        <v>329</v>
      </c>
      <c r="K20" s="418">
        <v>403</v>
      </c>
      <c r="L20" s="418">
        <v>344</v>
      </c>
      <c r="M20" s="418">
        <v>414</v>
      </c>
      <c r="N20" s="418">
        <v>367</v>
      </c>
      <c r="O20" s="418">
        <v>345</v>
      </c>
      <c r="P20" s="418">
        <v>274</v>
      </c>
      <c r="Q20" s="418">
        <v>246</v>
      </c>
      <c r="R20" s="1269">
        <f t="shared" si="2"/>
        <v>4590</v>
      </c>
      <c r="S20" s="925">
        <f>'[15]Base Membership'!E23</f>
        <v>4631</v>
      </c>
      <c r="T20" s="56">
        <f t="shared" si="1"/>
        <v>-41</v>
      </c>
      <c r="U20" s="269">
        <f t="shared" si="3"/>
        <v>-0.0089</v>
      </c>
      <c r="V20" s="56">
        <f t="shared" si="4"/>
        <v>0</v>
      </c>
      <c r="W20" s="56">
        <f t="shared" si="5"/>
        <v>-41</v>
      </c>
      <c r="Y20" s="761">
        <v>3057</v>
      </c>
      <c r="AA20" s="761">
        <v>568</v>
      </c>
      <c r="AB20" s="761">
        <v>73</v>
      </c>
    </row>
    <row r="21" spans="1:28" ht="12.75">
      <c r="A21" s="124">
        <v>17</v>
      </c>
      <c r="B21" s="124" t="s">
        <v>517</v>
      </c>
      <c r="C21" s="818">
        <v>0</v>
      </c>
      <c r="D21" s="418">
        <v>302</v>
      </c>
      <c r="E21" s="418">
        <v>3540</v>
      </c>
      <c r="F21" s="418">
        <v>3813</v>
      </c>
      <c r="G21" s="418">
        <v>3725</v>
      </c>
      <c r="H21" s="418">
        <v>3696</v>
      </c>
      <c r="I21" s="418">
        <v>4083</v>
      </c>
      <c r="J21" s="418">
        <v>3011</v>
      </c>
      <c r="K21" s="418">
        <v>3004</v>
      </c>
      <c r="L21" s="418">
        <v>3024</v>
      </c>
      <c r="M21" s="418">
        <v>3298</v>
      </c>
      <c r="N21" s="418">
        <v>3333</v>
      </c>
      <c r="O21" s="418">
        <v>2512</v>
      </c>
      <c r="P21" s="418">
        <v>2169</v>
      </c>
      <c r="Q21" s="418">
        <v>2157</v>
      </c>
      <c r="R21" s="1269">
        <f>SUM(C21:Q21)+R127+R128+R129+R130</f>
        <v>42902</v>
      </c>
      <c r="S21" s="925">
        <f>'[15]Base Membership'!E24</f>
        <v>42910</v>
      </c>
      <c r="T21" s="56">
        <f t="shared" si="1"/>
        <v>-8</v>
      </c>
      <c r="U21" s="269">
        <f t="shared" si="3"/>
        <v>-0.0002</v>
      </c>
      <c r="V21" s="56">
        <f t="shared" si="4"/>
        <v>0</v>
      </c>
      <c r="W21" s="56">
        <f t="shared" si="5"/>
        <v>-8</v>
      </c>
      <c r="Y21" s="761">
        <v>35043</v>
      </c>
      <c r="AA21" s="761">
        <v>4939</v>
      </c>
      <c r="AB21" s="761">
        <v>1254</v>
      </c>
    </row>
    <row r="22" spans="1:28" ht="12.75">
      <c r="A22" s="124">
        <v>18</v>
      </c>
      <c r="B22" s="124" t="s">
        <v>518</v>
      </c>
      <c r="C22" s="818">
        <v>0</v>
      </c>
      <c r="D22" s="418">
        <v>3</v>
      </c>
      <c r="E22" s="418">
        <v>124</v>
      </c>
      <c r="F22" s="418">
        <v>103</v>
      </c>
      <c r="G22" s="418">
        <v>102</v>
      </c>
      <c r="H22" s="418">
        <v>110</v>
      </c>
      <c r="I22" s="418">
        <v>104</v>
      </c>
      <c r="J22" s="418">
        <v>106</v>
      </c>
      <c r="K22" s="418">
        <v>95</v>
      </c>
      <c r="L22" s="418">
        <v>95</v>
      </c>
      <c r="M22" s="418">
        <v>124</v>
      </c>
      <c r="N22" s="418">
        <v>141</v>
      </c>
      <c r="O22" s="418">
        <v>63</v>
      </c>
      <c r="P22" s="418">
        <v>75</v>
      </c>
      <c r="Q22" s="418">
        <v>80</v>
      </c>
      <c r="R22" s="1269">
        <f t="shared" si="2"/>
        <v>1325</v>
      </c>
      <c r="S22" s="925">
        <f>'[15]Base Membership'!E25</f>
        <v>1360</v>
      </c>
      <c r="T22" s="56">
        <f t="shared" si="1"/>
        <v>-35</v>
      </c>
      <c r="U22" s="269">
        <f t="shared" si="3"/>
        <v>-0.0257</v>
      </c>
      <c r="V22" s="56">
        <f t="shared" si="4"/>
        <v>0</v>
      </c>
      <c r="W22" s="56">
        <f t="shared" si="5"/>
        <v>-35</v>
      </c>
      <c r="Y22" s="762">
        <v>1223</v>
      </c>
      <c r="AA22" s="762">
        <v>157</v>
      </c>
      <c r="AB22" s="762">
        <v>1</v>
      </c>
    </row>
    <row r="23" spans="1:28" ht="12.75">
      <c r="A23" s="124">
        <v>19</v>
      </c>
      <c r="B23" s="124" t="s">
        <v>519</v>
      </c>
      <c r="C23" s="818">
        <v>0</v>
      </c>
      <c r="D23" s="418">
        <v>9</v>
      </c>
      <c r="E23" s="418">
        <v>162</v>
      </c>
      <c r="F23" s="418">
        <v>193</v>
      </c>
      <c r="G23" s="418">
        <v>179</v>
      </c>
      <c r="H23" s="418">
        <v>182</v>
      </c>
      <c r="I23" s="418">
        <v>215</v>
      </c>
      <c r="J23" s="418">
        <v>174</v>
      </c>
      <c r="K23" s="418">
        <v>155</v>
      </c>
      <c r="L23" s="418">
        <v>146</v>
      </c>
      <c r="M23" s="418">
        <v>148</v>
      </c>
      <c r="N23" s="418">
        <v>165</v>
      </c>
      <c r="O23" s="418">
        <v>141</v>
      </c>
      <c r="P23" s="418">
        <v>116</v>
      </c>
      <c r="Q23" s="418">
        <v>114</v>
      </c>
      <c r="R23" s="1269">
        <f t="shared" si="2"/>
        <v>2099</v>
      </c>
      <c r="S23" s="925">
        <f>'[15]Base Membership'!E26</f>
        <v>2156</v>
      </c>
      <c r="T23" s="56">
        <f t="shared" si="1"/>
        <v>-57</v>
      </c>
      <c r="U23" s="269">
        <f t="shared" si="3"/>
        <v>-0.0264</v>
      </c>
      <c r="V23" s="56">
        <f t="shared" si="4"/>
        <v>0</v>
      </c>
      <c r="W23" s="56">
        <f t="shared" si="5"/>
        <v>-57</v>
      </c>
      <c r="Y23" s="762">
        <v>1801</v>
      </c>
      <c r="AA23" s="762">
        <v>307</v>
      </c>
      <c r="AB23" s="762">
        <v>9</v>
      </c>
    </row>
    <row r="24" spans="1:28" ht="12.75">
      <c r="A24" s="125">
        <v>20</v>
      </c>
      <c r="B24" s="125" t="s">
        <v>520</v>
      </c>
      <c r="C24" s="819">
        <v>0</v>
      </c>
      <c r="D24" s="426">
        <v>52</v>
      </c>
      <c r="E24" s="426">
        <v>493</v>
      </c>
      <c r="F24" s="426">
        <v>476</v>
      </c>
      <c r="G24" s="426">
        <v>464</v>
      </c>
      <c r="H24" s="426">
        <v>469</v>
      </c>
      <c r="I24" s="426">
        <v>516</v>
      </c>
      <c r="J24" s="426">
        <v>451</v>
      </c>
      <c r="K24" s="426">
        <v>485</v>
      </c>
      <c r="L24" s="426">
        <v>457</v>
      </c>
      <c r="M24" s="426">
        <v>402</v>
      </c>
      <c r="N24" s="426">
        <v>491</v>
      </c>
      <c r="O24" s="426">
        <v>311</v>
      </c>
      <c r="P24" s="426">
        <v>324</v>
      </c>
      <c r="Q24" s="426">
        <v>276</v>
      </c>
      <c r="R24" s="1270">
        <f t="shared" si="2"/>
        <v>5667</v>
      </c>
      <c r="S24" s="926">
        <f>'[15]Base Membership'!E27</f>
        <v>5800</v>
      </c>
      <c r="T24" s="57">
        <f t="shared" si="1"/>
        <v>-133</v>
      </c>
      <c r="U24" s="270">
        <f t="shared" si="3"/>
        <v>-0.0229</v>
      </c>
      <c r="V24" s="57">
        <f t="shared" si="4"/>
        <v>0</v>
      </c>
      <c r="W24" s="57">
        <f t="shared" si="5"/>
        <v>-133</v>
      </c>
      <c r="Y24" s="763">
        <v>4349</v>
      </c>
      <c r="AA24" s="763">
        <v>913</v>
      </c>
      <c r="AB24" s="763">
        <v>40</v>
      </c>
    </row>
    <row r="25" spans="1:28" ht="12.75">
      <c r="A25" s="124">
        <v>21</v>
      </c>
      <c r="B25" s="124" t="s">
        <v>521</v>
      </c>
      <c r="C25" s="818">
        <v>0</v>
      </c>
      <c r="D25" s="418">
        <v>22</v>
      </c>
      <c r="E25" s="418">
        <v>266</v>
      </c>
      <c r="F25" s="418">
        <v>292</v>
      </c>
      <c r="G25" s="418">
        <v>283</v>
      </c>
      <c r="H25" s="418">
        <v>239</v>
      </c>
      <c r="I25" s="418">
        <v>273</v>
      </c>
      <c r="J25" s="418">
        <v>252</v>
      </c>
      <c r="K25" s="418">
        <v>217</v>
      </c>
      <c r="L25" s="418">
        <v>269</v>
      </c>
      <c r="M25" s="418">
        <v>194</v>
      </c>
      <c r="N25" s="418">
        <v>235</v>
      </c>
      <c r="O25" s="418">
        <v>158</v>
      </c>
      <c r="P25" s="418">
        <v>153</v>
      </c>
      <c r="Q25" s="418">
        <v>150</v>
      </c>
      <c r="R25" s="1269">
        <f t="shared" si="2"/>
        <v>3003</v>
      </c>
      <c r="S25" s="925">
        <f>'[15]Base Membership'!E28</f>
        <v>3149</v>
      </c>
      <c r="T25" s="56">
        <f t="shared" si="1"/>
        <v>-146</v>
      </c>
      <c r="U25" s="269">
        <f t="shared" si="3"/>
        <v>-0.0464</v>
      </c>
      <c r="V25" s="56">
        <f t="shared" si="4"/>
        <v>0</v>
      </c>
      <c r="W25" s="56">
        <f t="shared" si="5"/>
        <v>-146</v>
      </c>
      <c r="Y25" s="761">
        <v>2357</v>
      </c>
      <c r="AA25" s="761">
        <v>377</v>
      </c>
      <c r="AB25" s="761">
        <v>39</v>
      </c>
    </row>
    <row r="26" spans="1:28" ht="12.75">
      <c r="A26" s="124">
        <v>22</v>
      </c>
      <c r="B26" s="124" t="s">
        <v>522</v>
      </c>
      <c r="C26" s="818">
        <v>0</v>
      </c>
      <c r="D26" s="418">
        <v>15</v>
      </c>
      <c r="E26" s="418">
        <v>274</v>
      </c>
      <c r="F26" s="418">
        <v>284</v>
      </c>
      <c r="G26" s="418">
        <v>269</v>
      </c>
      <c r="H26" s="418">
        <v>277</v>
      </c>
      <c r="I26" s="418">
        <v>284</v>
      </c>
      <c r="J26" s="418">
        <v>246</v>
      </c>
      <c r="K26" s="418">
        <v>247</v>
      </c>
      <c r="L26" s="418">
        <v>276</v>
      </c>
      <c r="M26" s="418">
        <v>304</v>
      </c>
      <c r="N26" s="418">
        <v>265</v>
      </c>
      <c r="O26" s="418">
        <v>245</v>
      </c>
      <c r="P26" s="418">
        <v>196</v>
      </c>
      <c r="Q26" s="418">
        <v>202</v>
      </c>
      <c r="R26" s="1269">
        <f t="shared" si="2"/>
        <v>3384</v>
      </c>
      <c r="S26" s="925">
        <f>'[15]Base Membership'!E29</f>
        <v>3397</v>
      </c>
      <c r="T26" s="56">
        <f t="shared" si="1"/>
        <v>-13</v>
      </c>
      <c r="U26" s="269">
        <f t="shared" si="3"/>
        <v>-0.0038</v>
      </c>
      <c r="V26" s="56">
        <f t="shared" si="4"/>
        <v>0</v>
      </c>
      <c r="W26" s="56">
        <f t="shared" si="5"/>
        <v>-13</v>
      </c>
      <c r="Y26" s="761">
        <v>2131</v>
      </c>
      <c r="AA26" s="761">
        <v>522</v>
      </c>
      <c r="AB26" s="761">
        <v>38</v>
      </c>
    </row>
    <row r="27" spans="1:28" ht="12.75">
      <c r="A27" s="124">
        <v>23</v>
      </c>
      <c r="B27" s="124" t="s">
        <v>523</v>
      </c>
      <c r="C27" s="818">
        <v>53</v>
      </c>
      <c r="D27" s="418">
        <v>110</v>
      </c>
      <c r="E27" s="418">
        <v>1104</v>
      </c>
      <c r="F27" s="418">
        <v>1167</v>
      </c>
      <c r="G27" s="418">
        <v>1093</v>
      </c>
      <c r="H27" s="418">
        <v>1180</v>
      </c>
      <c r="I27" s="418">
        <v>1161</v>
      </c>
      <c r="J27" s="418">
        <v>997</v>
      </c>
      <c r="K27" s="418">
        <v>974</v>
      </c>
      <c r="L27" s="418">
        <v>1179</v>
      </c>
      <c r="M27" s="418">
        <v>947</v>
      </c>
      <c r="N27" s="418">
        <v>1194</v>
      </c>
      <c r="O27" s="418">
        <v>762</v>
      </c>
      <c r="P27" s="418">
        <v>694</v>
      </c>
      <c r="Q27" s="418">
        <v>718</v>
      </c>
      <c r="R27" s="1269">
        <f t="shared" si="2"/>
        <v>13333</v>
      </c>
      <c r="S27" s="925">
        <f>'[15]Base Membership'!E30</f>
        <v>13437</v>
      </c>
      <c r="T27" s="56">
        <f t="shared" si="1"/>
        <v>-104</v>
      </c>
      <c r="U27" s="269">
        <f t="shared" si="3"/>
        <v>-0.0077</v>
      </c>
      <c r="V27" s="56">
        <f t="shared" si="4"/>
        <v>0</v>
      </c>
      <c r="W27" s="56">
        <f t="shared" si="5"/>
        <v>-104</v>
      </c>
      <c r="Y27" s="762">
        <v>8711</v>
      </c>
      <c r="AA27" s="762">
        <v>1836</v>
      </c>
      <c r="AB27" s="762">
        <v>409</v>
      </c>
    </row>
    <row r="28" spans="1:28" ht="12.75">
      <c r="A28" s="124">
        <v>24</v>
      </c>
      <c r="B28" s="124" t="s">
        <v>524</v>
      </c>
      <c r="C28" s="818">
        <v>1</v>
      </c>
      <c r="D28" s="418">
        <v>27</v>
      </c>
      <c r="E28" s="418">
        <v>322</v>
      </c>
      <c r="F28" s="418">
        <v>352</v>
      </c>
      <c r="G28" s="418">
        <v>379</v>
      </c>
      <c r="H28" s="418">
        <v>367</v>
      </c>
      <c r="I28" s="418">
        <v>316</v>
      </c>
      <c r="J28" s="418">
        <v>303</v>
      </c>
      <c r="K28" s="418">
        <v>287</v>
      </c>
      <c r="L28" s="418">
        <v>348</v>
      </c>
      <c r="M28" s="418">
        <v>313</v>
      </c>
      <c r="N28" s="418">
        <v>460</v>
      </c>
      <c r="O28" s="418">
        <v>232</v>
      </c>
      <c r="P28" s="418">
        <v>222</v>
      </c>
      <c r="Q28" s="418">
        <v>210</v>
      </c>
      <c r="R28" s="1269">
        <f t="shared" si="2"/>
        <v>4139</v>
      </c>
      <c r="S28" s="925">
        <f>'[15]Base Membership'!E31</f>
        <v>4035</v>
      </c>
      <c r="T28" s="56">
        <f t="shared" si="1"/>
        <v>104</v>
      </c>
      <c r="U28" s="269">
        <f t="shared" si="3"/>
        <v>0.0258</v>
      </c>
      <c r="V28" s="56">
        <f t="shared" si="4"/>
        <v>104</v>
      </c>
      <c r="W28" s="56">
        <f t="shared" si="5"/>
        <v>0</v>
      </c>
      <c r="Y28" s="762">
        <v>3369</v>
      </c>
      <c r="AA28" s="762">
        <v>531</v>
      </c>
      <c r="AB28" s="762">
        <v>97</v>
      </c>
    </row>
    <row r="29" spans="1:28" ht="12.75">
      <c r="A29" s="125">
        <v>25</v>
      </c>
      <c r="B29" s="125" t="s">
        <v>525</v>
      </c>
      <c r="C29" s="819">
        <v>0</v>
      </c>
      <c r="D29" s="426">
        <v>22</v>
      </c>
      <c r="E29" s="426">
        <v>199</v>
      </c>
      <c r="F29" s="426">
        <v>214</v>
      </c>
      <c r="G29" s="426">
        <v>194</v>
      </c>
      <c r="H29" s="426">
        <v>168</v>
      </c>
      <c r="I29" s="426">
        <v>172</v>
      </c>
      <c r="J29" s="426">
        <v>177</v>
      </c>
      <c r="K29" s="426">
        <v>157</v>
      </c>
      <c r="L29" s="426">
        <v>186</v>
      </c>
      <c r="M29" s="426">
        <v>170</v>
      </c>
      <c r="N29" s="426">
        <v>156</v>
      </c>
      <c r="O29" s="426">
        <v>129</v>
      </c>
      <c r="P29" s="426">
        <v>132</v>
      </c>
      <c r="Q29" s="426">
        <v>116</v>
      </c>
      <c r="R29" s="1270">
        <f t="shared" si="2"/>
        <v>2192</v>
      </c>
      <c r="S29" s="926">
        <f>'[15]Base Membership'!E32</f>
        <v>2180</v>
      </c>
      <c r="T29" s="57">
        <f t="shared" si="1"/>
        <v>12</v>
      </c>
      <c r="U29" s="270">
        <f t="shared" si="3"/>
        <v>0.0055</v>
      </c>
      <c r="V29" s="57">
        <f t="shared" si="4"/>
        <v>12</v>
      </c>
      <c r="W29" s="57">
        <f t="shared" si="5"/>
        <v>0</v>
      </c>
      <c r="Y29" s="763">
        <v>1309</v>
      </c>
      <c r="AA29" s="763">
        <v>209</v>
      </c>
      <c r="AB29" s="763">
        <v>53</v>
      </c>
    </row>
    <row r="30" spans="1:28" ht="12.75">
      <c r="A30" s="124">
        <v>26</v>
      </c>
      <c r="B30" s="124" t="s">
        <v>526</v>
      </c>
      <c r="C30" s="818">
        <v>0</v>
      </c>
      <c r="D30" s="418">
        <v>328</v>
      </c>
      <c r="E30" s="418">
        <v>3477</v>
      </c>
      <c r="F30" s="418">
        <v>3780</v>
      </c>
      <c r="G30" s="418">
        <v>3578</v>
      </c>
      <c r="H30" s="418">
        <v>3488</v>
      </c>
      <c r="I30" s="418">
        <v>3738</v>
      </c>
      <c r="J30" s="418">
        <v>3111</v>
      </c>
      <c r="K30" s="418">
        <v>3090</v>
      </c>
      <c r="L30" s="418">
        <v>3256</v>
      </c>
      <c r="M30" s="418">
        <v>3196</v>
      </c>
      <c r="N30" s="418">
        <v>3313</v>
      </c>
      <c r="O30" s="418">
        <v>2724</v>
      </c>
      <c r="P30" s="418">
        <v>2431</v>
      </c>
      <c r="Q30" s="418">
        <v>2280</v>
      </c>
      <c r="R30" s="1269">
        <f t="shared" si="2"/>
        <v>41790</v>
      </c>
      <c r="S30" s="925">
        <f>'[15]Base Membership'!E33</f>
        <v>41454</v>
      </c>
      <c r="T30" s="56">
        <f t="shared" si="1"/>
        <v>336</v>
      </c>
      <c r="U30" s="269">
        <f t="shared" si="3"/>
        <v>0.0081</v>
      </c>
      <c r="V30" s="56">
        <f t="shared" si="4"/>
        <v>336</v>
      </c>
      <c r="W30" s="56">
        <f t="shared" si="5"/>
        <v>0</v>
      </c>
      <c r="Y30" s="761">
        <v>31703</v>
      </c>
      <c r="AA30" s="761">
        <v>5446</v>
      </c>
      <c r="AB30" s="761">
        <v>2727</v>
      </c>
    </row>
    <row r="31" spans="1:28" ht="12.75">
      <c r="A31" s="124">
        <v>27</v>
      </c>
      <c r="B31" s="124" t="s">
        <v>527</v>
      </c>
      <c r="C31" s="818">
        <v>0</v>
      </c>
      <c r="D31" s="418">
        <v>38</v>
      </c>
      <c r="E31" s="418">
        <v>470</v>
      </c>
      <c r="F31" s="418">
        <v>444</v>
      </c>
      <c r="G31" s="418">
        <v>459</v>
      </c>
      <c r="H31" s="418">
        <v>415</v>
      </c>
      <c r="I31" s="418">
        <v>447</v>
      </c>
      <c r="J31" s="418">
        <v>442</v>
      </c>
      <c r="K31" s="418">
        <v>381</v>
      </c>
      <c r="L31" s="418">
        <v>460</v>
      </c>
      <c r="M31" s="418">
        <v>395</v>
      </c>
      <c r="N31" s="418">
        <v>534</v>
      </c>
      <c r="O31" s="418">
        <v>399</v>
      </c>
      <c r="P31" s="418">
        <v>363</v>
      </c>
      <c r="Q31" s="418">
        <v>329</v>
      </c>
      <c r="R31" s="1269">
        <f t="shared" si="2"/>
        <v>5576</v>
      </c>
      <c r="S31" s="925">
        <f>'[15]Base Membership'!E34</f>
        <v>5543</v>
      </c>
      <c r="T31" s="56">
        <f t="shared" si="1"/>
        <v>33</v>
      </c>
      <c r="U31" s="269">
        <f t="shared" si="3"/>
        <v>0.006</v>
      </c>
      <c r="V31" s="56">
        <f t="shared" si="4"/>
        <v>33</v>
      </c>
      <c r="W31" s="56">
        <f t="shared" si="5"/>
        <v>0</v>
      </c>
      <c r="Y31" s="761">
        <v>3001</v>
      </c>
      <c r="AA31" s="761">
        <v>857</v>
      </c>
      <c r="AB31" s="761">
        <v>120</v>
      </c>
    </row>
    <row r="32" spans="1:28" ht="12.75">
      <c r="A32" s="124">
        <v>28</v>
      </c>
      <c r="B32" s="124" t="s">
        <v>528</v>
      </c>
      <c r="C32" s="818">
        <v>94</v>
      </c>
      <c r="D32" s="418">
        <v>148</v>
      </c>
      <c r="E32" s="418">
        <v>2198</v>
      </c>
      <c r="F32" s="418">
        <v>2389</v>
      </c>
      <c r="G32" s="418">
        <v>2293</v>
      </c>
      <c r="H32" s="418">
        <v>2339</v>
      </c>
      <c r="I32" s="418">
        <v>2512</v>
      </c>
      <c r="J32" s="418">
        <v>2292</v>
      </c>
      <c r="K32" s="418">
        <v>2129</v>
      </c>
      <c r="L32" s="418">
        <v>2291</v>
      </c>
      <c r="M32" s="418">
        <v>2160</v>
      </c>
      <c r="N32" s="418">
        <v>2557</v>
      </c>
      <c r="O32" s="418">
        <v>2054</v>
      </c>
      <c r="P32" s="418">
        <v>1829</v>
      </c>
      <c r="Q32" s="418">
        <v>1459</v>
      </c>
      <c r="R32" s="1269">
        <f t="shared" si="2"/>
        <v>28744</v>
      </c>
      <c r="S32" s="925">
        <f>'[15]Base Membership'!E35</f>
        <v>28913</v>
      </c>
      <c r="T32" s="56">
        <f t="shared" si="1"/>
        <v>-169</v>
      </c>
      <c r="U32" s="269">
        <f t="shared" si="3"/>
        <v>-0.0058</v>
      </c>
      <c r="V32" s="56">
        <f t="shared" si="4"/>
        <v>0</v>
      </c>
      <c r="W32" s="56">
        <f t="shared" si="5"/>
        <v>-169</v>
      </c>
      <c r="Y32" s="762">
        <v>16663</v>
      </c>
      <c r="AA32" s="762">
        <v>3217</v>
      </c>
      <c r="AB32" s="762">
        <v>1293</v>
      </c>
    </row>
    <row r="33" spans="1:28" ht="12.75">
      <c r="A33" s="124">
        <v>29</v>
      </c>
      <c r="B33" s="124" t="s">
        <v>529</v>
      </c>
      <c r="C33" s="818">
        <v>59</v>
      </c>
      <c r="D33" s="418">
        <v>133</v>
      </c>
      <c r="E33" s="418">
        <v>1060</v>
      </c>
      <c r="F33" s="418">
        <v>1183</v>
      </c>
      <c r="G33" s="418">
        <v>974</v>
      </c>
      <c r="H33" s="418">
        <v>1078</v>
      </c>
      <c r="I33" s="418">
        <v>1124</v>
      </c>
      <c r="J33" s="418">
        <v>1013</v>
      </c>
      <c r="K33" s="418">
        <v>941</v>
      </c>
      <c r="L33" s="418">
        <v>1122</v>
      </c>
      <c r="M33" s="418">
        <v>1070</v>
      </c>
      <c r="N33" s="418">
        <v>1087</v>
      </c>
      <c r="O33" s="418">
        <v>986</v>
      </c>
      <c r="P33" s="418">
        <v>1021</v>
      </c>
      <c r="Q33" s="418">
        <v>843</v>
      </c>
      <c r="R33" s="1269">
        <f t="shared" si="2"/>
        <v>13694</v>
      </c>
      <c r="S33" s="925">
        <f>'[15]Base Membership'!E36</f>
        <v>13871</v>
      </c>
      <c r="T33" s="56">
        <f t="shared" si="1"/>
        <v>-177</v>
      </c>
      <c r="U33" s="269">
        <f t="shared" si="3"/>
        <v>-0.0128</v>
      </c>
      <c r="V33" s="56">
        <f t="shared" si="4"/>
        <v>0</v>
      </c>
      <c r="W33" s="56">
        <f t="shared" si="5"/>
        <v>-177</v>
      </c>
      <c r="Y33" s="762">
        <v>7910</v>
      </c>
      <c r="AA33" s="762">
        <v>1603</v>
      </c>
      <c r="AB33" s="762">
        <v>217</v>
      </c>
    </row>
    <row r="34" spans="1:28" ht="12.75">
      <c r="A34" s="125">
        <v>30</v>
      </c>
      <c r="B34" s="125" t="s">
        <v>530</v>
      </c>
      <c r="C34" s="819">
        <v>0</v>
      </c>
      <c r="D34" s="426">
        <v>3</v>
      </c>
      <c r="E34" s="426">
        <v>208</v>
      </c>
      <c r="F34" s="426">
        <v>207</v>
      </c>
      <c r="G34" s="426">
        <v>199</v>
      </c>
      <c r="H34" s="426">
        <v>214</v>
      </c>
      <c r="I34" s="426">
        <v>174</v>
      </c>
      <c r="J34" s="426">
        <v>227</v>
      </c>
      <c r="K34" s="426">
        <v>184</v>
      </c>
      <c r="L34" s="426">
        <v>188</v>
      </c>
      <c r="M34" s="426">
        <v>156</v>
      </c>
      <c r="N34" s="426">
        <v>202</v>
      </c>
      <c r="O34" s="426">
        <v>166</v>
      </c>
      <c r="P34" s="426">
        <v>154</v>
      </c>
      <c r="Q34" s="426">
        <v>152</v>
      </c>
      <c r="R34" s="1270">
        <f t="shared" si="2"/>
        <v>2434</v>
      </c>
      <c r="S34" s="926">
        <f>'[15]Base Membership'!E37</f>
        <v>2472</v>
      </c>
      <c r="T34" s="57">
        <f t="shared" si="1"/>
        <v>-38</v>
      </c>
      <c r="U34" s="270">
        <f t="shared" si="3"/>
        <v>-0.0154</v>
      </c>
      <c r="V34" s="57">
        <f t="shared" si="4"/>
        <v>0</v>
      </c>
      <c r="W34" s="57">
        <f t="shared" si="5"/>
        <v>-38</v>
      </c>
      <c r="Y34" s="763">
        <v>1228</v>
      </c>
      <c r="AA34" s="763">
        <v>241</v>
      </c>
      <c r="AB34" s="763">
        <v>26</v>
      </c>
    </row>
    <row r="35" spans="1:28" ht="12.75">
      <c r="A35" s="124">
        <v>31</v>
      </c>
      <c r="B35" s="124" t="s">
        <v>531</v>
      </c>
      <c r="C35" s="818">
        <v>0</v>
      </c>
      <c r="D35" s="418">
        <v>46</v>
      </c>
      <c r="E35" s="418">
        <v>565</v>
      </c>
      <c r="F35" s="418">
        <v>546</v>
      </c>
      <c r="G35" s="418">
        <v>493</v>
      </c>
      <c r="H35" s="418">
        <v>535</v>
      </c>
      <c r="I35" s="418">
        <v>523</v>
      </c>
      <c r="J35" s="418">
        <v>471</v>
      </c>
      <c r="K35" s="418">
        <v>479</v>
      </c>
      <c r="L35" s="418">
        <v>575</v>
      </c>
      <c r="M35" s="418">
        <v>510</v>
      </c>
      <c r="N35" s="418">
        <v>510</v>
      </c>
      <c r="O35" s="418">
        <v>423</v>
      </c>
      <c r="P35" s="418">
        <v>433</v>
      </c>
      <c r="Q35" s="418">
        <v>434</v>
      </c>
      <c r="R35" s="1269">
        <f t="shared" si="2"/>
        <v>6543</v>
      </c>
      <c r="S35" s="925">
        <f>'[15]Base Membership'!E38</f>
        <v>6381</v>
      </c>
      <c r="T35" s="56">
        <f t="shared" si="1"/>
        <v>162</v>
      </c>
      <c r="U35" s="269">
        <f t="shared" si="3"/>
        <v>0.0254</v>
      </c>
      <c r="V35" s="56">
        <f t="shared" si="4"/>
        <v>162</v>
      </c>
      <c r="W35" s="56">
        <f t="shared" si="5"/>
        <v>0</v>
      </c>
      <c r="Y35" s="761">
        <v>3839</v>
      </c>
      <c r="AA35" s="761">
        <v>792</v>
      </c>
      <c r="AB35" s="761">
        <v>290</v>
      </c>
    </row>
    <row r="36" spans="1:28" ht="12.75">
      <c r="A36" s="124">
        <v>32</v>
      </c>
      <c r="B36" s="124" t="s">
        <v>532</v>
      </c>
      <c r="C36" s="818">
        <v>0</v>
      </c>
      <c r="D36" s="418">
        <v>238</v>
      </c>
      <c r="E36" s="418">
        <v>1882</v>
      </c>
      <c r="F36" s="418">
        <v>1981</v>
      </c>
      <c r="G36" s="418">
        <v>2072</v>
      </c>
      <c r="H36" s="418">
        <v>1927</v>
      </c>
      <c r="I36" s="418">
        <v>2071</v>
      </c>
      <c r="J36" s="418">
        <v>1830</v>
      </c>
      <c r="K36" s="418">
        <v>1792</v>
      </c>
      <c r="L36" s="418">
        <v>1896</v>
      </c>
      <c r="M36" s="418">
        <v>1824</v>
      </c>
      <c r="N36" s="418">
        <v>1783</v>
      </c>
      <c r="O36" s="418">
        <v>1604</v>
      </c>
      <c r="P36" s="418">
        <v>1418</v>
      </c>
      <c r="Q36" s="418">
        <v>1260</v>
      </c>
      <c r="R36" s="1269">
        <f t="shared" si="2"/>
        <v>23578</v>
      </c>
      <c r="S36" s="925">
        <f>'[15]Base Membership'!E39</f>
        <v>23403</v>
      </c>
      <c r="T36" s="56">
        <f t="shared" si="1"/>
        <v>175</v>
      </c>
      <c r="U36" s="269">
        <f t="shared" si="3"/>
        <v>0.0075</v>
      </c>
      <c r="V36" s="56">
        <f t="shared" si="4"/>
        <v>175</v>
      </c>
      <c r="W36" s="56">
        <f t="shared" si="5"/>
        <v>0</v>
      </c>
      <c r="Y36" s="761">
        <v>10384</v>
      </c>
      <c r="AA36" s="761">
        <v>3181</v>
      </c>
      <c r="AB36" s="761">
        <v>863</v>
      </c>
    </row>
    <row r="37" spans="1:28" ht="12.75">
      <c r="A37" s="124">
        <v>33</v>
      </c>
      <c r="B37" s="124" t="s">
        <v>533</v>
      </c>
      <c r="C37" s="818">
        <v>1</v>
      </c>
      <c r="D37" s="418">
        <v>15</v>
      </c>
      <c r="E37" s="418">
        <v>172</v>
      </c>
      <c r="F37" s="418">
        <v>144</v>
      </c>
      <c r="G37" s="418">
        <v>159</v>
      </c>
      <c r="H37" s="418">
        <v>158</v>
      </c>
      <c r="I37" s="418">
        <v>163</v>
      </c>
      <c r="J37" s="418">
        <v>148</v>
      </c>
      <c r="K37" s="418">
        <v>167</v>
      </c>
      <c r="L37" s="418">
        <v>167</v>
      </c>
      <c r="M37" s="418">
        <v>196</v>
      </c>
      <c r="N37" s="418">
        <v>189</v>
      </c>
      <c r="O37" s="418">
        <v>89</v>
      </c>
      <c r="P37" s="418">
        <v>103</v>
      </c>
      <c r="Q37" s="418">
        <v>87</v>
      </c>
      <c r="R37" s="1269">
        <f t="shared" si="2"/>
        <v>1958</v>
      </c>
      <c r="S37" s="925">
        <f>'[15]Base Membership'!E40</f>
        <v>1998</v>
      </c>
      <c r="T37" s="56">
        <f t="shared" si="1"/>
        <v>-40</v>
      </c>
      <c r="U37" s="269">
        <f t="shared" si="3"/>
        <v>-0.02</v>
      </c>
      <c r="V37" s="56">
        <f t="shared" si="4"/>
        <v>0</v>
      </c>
      <c r="W37" s="56">
        <f t="shared" si="5"/>
        <v>-40</v>
      </c>
      <c r="Y37" s="762">
        <v>1724</v>
      </c>
      <c r="AA37" s="762">
        <v>248</v>
      </c>
      <c r="AB37" s="762">
        <v>5</v>
      </c>
    </row>
    <row r="38" spans="1:28" ht="12.75">
      <c r="A38" s="124">
        <v>34</v>
      </c>
      <c r="B38" s="124" t="s">
        <v>534</v>
      </c>
      <c r="C38" s="818">
        <v>0</v>
      </c>
      <c r="D38" s="418">
        <v>86</v>
      </c>
      <c r="E38" s="418">
        <v>404</v>
      </c>
      <c r="F38" s="418">
        <v>427</v>
      </c>
      <c r="G38" s="418">
        <v>381</v>
      </c>
      <c r="H38" s="418">
        <v>446</v>
      </c>
      <c r="I38" s="418">
        <v>382</v>
      </c>
      <c r="J38" s="418">
        <v>401</v>
      </c>
      <c r="K38" s="418">
        <v>337</v>
      </c>
      <c r="L38" s="418">
        <v>383</v>
      </c>
      <c r="M38" s="418">
        <v>354</v>
      </c>
      <c r="N38" s="418">
        <v>364</v>
      </c>
      <c r="O38" s="418">
        <v>265</v>
      </c>
      <c r="P38" s="418">
        <v>201</v>
      </c>
      <c r="Q38" s="418">
        <v>224</v>
      </c>
      <c r="R38" s="1269">
        <f t="shared" si="2"/>
        <v>4655</v>
      </c>
      <c r="S38" s="925">
        <f>'[15]Base Membership'!E41</f>
        <v>4691</v>
      </c>
      <c r="T38" s="56">
        <f t="shared" si="1"/>
        <v>-36</v>
      </c>
      <c r="U38" s="269">
        <f t="shared" si="3"/>
        <v>-0.0077</v>
      </c>
      <c r="V38" s="56">
        <f t="shared" si="4"/>
        <v>0</v>
      </c>
      <c r="W38" s="56">
        <f t="shared" si="5"/>
        <v>-36</v>
      </c>
      <c r="Y38" s="762">
        <v>3598</v>
      </c>
      <c r="AA38" s="762">
        <v>764</v>
      </c>
      <c r="AB38" s="762">
        <v>36</v>
      </c>
    </row>
    <row r="39" spans="1:28" ht="12.75">
      <c r="A39" s="125">
        <v>35</v>
      </c>
      <c r="B39" s="125" t="s">
        <v>535</v>
      </c>
      <c r="C39" s="819">
        <v>20</v>
      </c>
      <c r="D39" s="426">
        <v>52</v>
      </c>
      <c r="E39" s="426">
        <v>564</v>
      </c>
      <c r="F39" s="426">
        <v>608</v>
      </c>
      <c r="G39" s="426">
        <v>573</v>
      </c>
      <c r="H39" s="426">
        <v>520</v>
      </c>
      <c r="I39" s="426">
        <v>583</v>
      </c>
      <c r="J39" s="426">
        <v>507</v>
      </c>
      <c r="K39" s="426">
        <v>451</v>
      </c>
      <c r="L39" s="426">
        <v>534</v>
      </c>
      <c r="M39" s="426">
        <v>477</v>
      </c>
      <c r="N39" s="426">
        <v>509</v>
      </c>
      <c r="O39" s="426">
        <v>332</v>
      </c>
      <c r="P39" s="426">
        <v>325</v>
      </c>
      <c r="Q39" s="426">
        <v>317</v>
      </c>
      <c r="R39" s="1270">
        <f t="shared" si="2"/>
        <v>6372</v>
      </c>
      <c r="S39" s="926">
        <f>'[15]Base Membership'!E42</f>
        <v>6448</v>
      </c>
      <c r="T39" s="57">
        <f t="shared" si="1"/>
        <v>-76</v>
      </c>
      <c r="U39" s="270">
        <f t="shared" si="3"/>
        <v>-0.0118</v>
      </c>
      <c r="V39" s="57">
        <f t="shared" si="4"/>
        <v>0</v>
      </c>
      <c r="W39" s="57">
        <f t="shared" si="5"/>
        <v>-76</v>
      </c>
      <c r="Y39" s="763">
        <v>4543</v>
      </c>
      <c r="AA39" s="763">
        <v>848</v>
      </c>
      <c r="AB39" s="763">
        <v>229</v>
      </c>
    </row>
    <row r="40" spans="1:28" ht="12.75">
      <c r="A40" s="124">
        <v>36</v>
      </c>
      <c r="B40" s="124" t="s">
        <v>489</v>
      </c>
      <c r="C40" s="818">
        <v>0</v>
      </c>
      <c r="D40" s="418">
        <v>107</v>
      </c>
      <c r="E40" s="418">
        <v>506</v>
      </c>
      <c r="F40" s="418">
        <v>536</v>
      </c>
      <c r="G40" s="418">
        <v>571</v>
      </c>
      <c r="H40" s="418">
        <v>568</v>
      </c>
      <c r="I40" s="418">
        <v>578</v>
      </c>
      <c r="J40" s="418">
        <v>517</v>
      </c>
      <c r="K40" s="418">
        <v>512</v>
      </c>
      <c r="L40" s="418">
        <v>530</v>
      </c>
      <c r="M40" s="418">
        <v>615</v>
      </c>
      <c r="N40" s="418">
        <v>1213</v>
      </c>
      <c r="O40" s="418">
        <v>1256</v>
      </c>
      <c r="P40" s="418">
        <v>1182</v>
      </c>
      <c r="Q40" s="418">
        <v>1136</v>
      </c>
      <c r="R40" s="1269">
        <f>SUM(C40:Q40)+R125</f>
        <v>33693</v>
      </c>
      <c r="S40" s="925">
        <f>'[15]Base Membership'!E43</f>
        <v>32704</v>
      </c>
      <c r="T40" s="56">
        <f t="shared" si="1"/>
        <v>989</v>
      </c>
      <c r="U40" s="269">
        <f t="shared" si="3"/>
        <v>0.0302</v>
      </c>
      <c r="V40" s="56">
        <f t="shared" si="4"/>
        <v>989</v>
      </c>
      <c r="W40" s="56">
        <f t="shared" si="5"/>
        <v>0</v>
      </c>
      <c r="Y40" s="761">
        <v>7225</v>
      </c>
      <c r="AA40" s="761">
        <v>782</v>
      </c>
      <c r="AB40" s="761">
        <v>1884</v>
      </c>
    </row>
    <row r="41" spans="1:28" ht="12.75">
      <c r="A41" s="124">
        <v>37</v>
      </c>
      <c r="B41" s="124" t="s">
        <v>536</v>
      </c>
      <c r="C41" s="818">
        <v>0</v>
      </c>
      <c r="D41" s="418">
        <v>153</v>
      </c>
      <c r="E41" s="418">
        <v>1573</v>
      </c>
      <c r="F41" s="418">
        <v>1587</v>
      </c>
      <c r="G41" s="418">
        <v>1495</v>
      </c>
      <c r="H41" s="418">
        <v>1477</v>
      </c>
      <c r="I41" s="418">
        <v>1579</v>
      </c>
      <c r="J41" s="418">
        <v>1403</v>
      </c>
      <c r="K41" s="418">
        <v>1405</v>
      </c>
      <c r="L41" s="418">
        <v>1482</v>
      </c>
      <c r="M41" s="418">
        <v>1400</v>
      </c>
      <c r="N41" s="418">
        <v>1584</v>
      </c>
      <c r="O41" s="418">
        <v>1267</v>
      </c>
      <c r="P41" s="418">
        <v>1017</v>
      </c>
      <c r="Q41" s="418">
        <v>1116</v>
      </c>
      <c r="R41" s="1269">
        <f t="shared" si="2"/>
        <v>18538</v>
      </c>
      <c r="S41" s="925">
        <f>'[15]Base Membership'!E44</f>
        <v>18520</v>
      </c>
      <c r="T41" s="56">
        <f t="shared" si="1"/>
        <v>18</v>
      </c>
      <c r="U41" s="269">
        <f t="shared" si="3"/>
        <v>0.001</v>
      </c>
      <c r="V41" s="56">
        <f t="shared" si="4"/>
        <v>18</v>
      </c>
      <c r="W41" s="56">
        <f t="shared" si="5"/>
        <v>0</v>
      </c>
      <c r="Y41" s="761">
        <v>9418</v>
      </c>
      <c r="AA41" s="761">
        <v>2522</v>
      </c>
      <c r="AB41" s="761">
        <v>936</v>
      </c>
    </row>
    <row r="42" spans="1:28" ht="12.75">
      <c r="A42" s="124">
        <v>38</v>
      </c>
      <c r="B42" s="124" t="s">
        <v>537</v>
      </c>
      <c r="C42" s="818">
        <v>0</v>
      </c>
      <c r="D42" s="418">
        <v>28</v>
      </c>
      <c r="E42" s="418">
        <v>299</v>
      </c>
      <c r="F42" s="418">
        <v>264</v>
      </c>
      <c r="G42" s="418">
        <v>248</v>
      </c>
      <c r="H42" s="418">
        <v>265</v>
      </c>
      <c r="I42" s="418">
        <v>254</v>
      </c>
      <c r="J42" s="418">
        <v>229</v>
      </c>
      <c r="K42" s="418">
        <v>231</v>
      </c>
      <c r="L42" s="418">
        <v>253</v>
      </c>
      <c r="M42" s="418">
        <v>238</v>
      </c>
      <c r="N42" s="418">
        <v>315</v>
      </c>
      <c r="O42" s="418">
        <v>299</v>
      </c>
      <c r="P42" s="418">
        <v>270</v>
      </c>
      <c r="Q42" s="418">
        <v>240</v>
      </c>
      <c r="R42" s="1269">
        <f t="shared" si="2"/>
        <v>3433</v>
      </c>
      <c r="S42" s="925">
        <f>'[15]Base Membership'!E45</f>
        <v>3520</v>
      </c>
      <c r="T42" s="56">
        <f t="shared" si="1"/>
        <v>-87</v>
      </c>
      <c r="U42" s="269">
        <f t="shared" si="3"/>
        <v>-0.0247</v>
      </c>
      <c r="V42" s="56">
        <f t="shared" si="4"/>
        <v>0</v>
      </c>
      <c r="W42" s="56">
        <f t="shared" si="5"/>
        <v>-87</v>
      </c>
      <c r="Y42" s="762">
        <v>2276</v>
      </c>
      <c r="AA42" s="762">
        <v>415</v>
      </c>
      <c r="AB42" s="762">
        <v>112</v>
      </c>
    </row>
    <row r="43" spans="1:28" ht="12.75">
      <c r="A43" s="124">
        <v>39</v>
      </c>
      <c r="B43" s="124" t="s">
        <v>538</v>
      </c>
      <c r="C43" s="818">
        <v>0</v>
      </c>
      <c r="D43" s="418">
        <v>25</v>
      </c>
      <c r="E43" s="418">
        <v>246</v>
      </c>
      <c r="F43" s="418">
        <v>232</v>
      </c>
      <c r="G43" s="418">
        <v>225</v>
      </c>
      <c r="H43" s="418">
        <v>242</v>
      </c>
      <c r="I43" s="418">
        <v>257</v>
      </c>
      <c r="J43" s="418">
        <v>211</v>
      </c>
      <c r="K43" s="418">
        <v>166</v>
      </c>
      <c r="L43" s="418">
        <v>192</v>
      </c>
      <c r="M43" s="418">
        <v>186</v>
      </c>
      <c r="N43" s="418">
        <v>188</v>
      </c>
      <c r="O43" s="418">
        <v>114</v>
      </c>
      <c r="P43" s="418">
        <v>98</v>
      </c>
      <c r="Q43" s="418">
        <v>80</v>
      </c>
      <c r="R43" s="1269">
        <f>SUM(C43:Q43)+R142</f>
        <v>2867</v>
      </c>
      <c r="S43" s="925">
        <f>'[15]Base Membership'!E46</f>
        <v>2965</v>
      </c>
      <c r="T43" s="56">
        <f t="shared" si="1"/>
        <v>-98</v>
      </c>
      <c r="U43" s="269">
        <f t="shared" si="3"/>
        <v>-0.0331</v>
      </c>
      <c r="V43" s="56">
        <f t="shared" si="4"/>
        <v>0</v>
      </c>
      <c r="W43" s="56">
        <f t="shared" si="5"/>
        <v>-98</v>
      </c>
      <c r="Y43" s="762">
        <v>1831</v>
      </c>
      <c r="AA43" s="762">
        <v>469</v>
      </c>
      <c r="AB43" s="762">
        <v>28</v>
      </c>
    </row>
    <row r="44" spans="1:28" ht="12.75">
      <c r="A44" s="125">
        <v>40</v>
      </c>
      <c r="B44" s="125" t="s">
        <v>539</v>
      </c>
      <c r="C44" s="819">
        <v>68</v>
      </c>
      <c r="D44" s="426">
        <v>217</v>
      </c>
      <c r="E44" s="426">
        <v>1767</v>
      </c>
      <c r="F44" s="426">
        <v>1921</v>
      </c>
      <c r="G44" s="426">
        <v>2004</v>
      </c>
      <c r="H44" s="426">
        <v>1938</v>
      </c>
      <c r="I44" s="426">
        <v>1891</v>
      </c>
      <c r="J44" s="426">
        <v>1707</v>
      </c>
      <c r="K44" s="426">
        <v>1586</v>
      </c>
      <c r="L44" s="426">
        <v>1818</v>
      </c>
      <c r="M44" s="426">
        <v>1866</v>
      </c>
      <c r="N44" s="426">
        <v>1831</v>
      </c>
      <c r="O44" s="426">
        <v>1421</v>
      </c>
      <c r="P44" s="426">
        <v>1299</v>
      </c>
      <c r="Q44" s="426">
        <v>1266</v>
      </c>
      <c r="R44" s="1270">
        <f t="shared" si="2"/>
        <v>22600</v>
      </c>
      <c r="S44" s="926">
        <f>'[15]Base Membership'!E47</f>
        <v>22341</v>
      </c>
      <c r="T44" s="57">
        <f t="shared" si="1"/>
        <v>259</v>
      </c>
      <c r="U44" s="270">
        <f t="shared" si="3"/>
        <v>0.0116</v>
      </c>
      <c r="V44" s="57">
        <f t="shared" si="4"/>
        <v>259</v>
      </c>
      <c r="W44" s="57">
        <f t="shared" si="5"/>
        <v>0</v>
      </c>
      <c r="Y44" s="763">
        <v>15338</v>
      </c>
      <c r="AA44" s="763">
        <v>2989</v>
      </c>
      <c r="AB44" s="763">
        <v>499</v>
      </c>
    </row>
    <row r="45" spans="1:28" ht="12.75">
      <c r="A45" s="124">
        <v>41</v>
      </c>
      <c r="B45" s="124" t="s">
        <v>540</v>
      </c>
      <c r="C45" s="818">
        <v>0</v>
      </c>
      <c r="D45" s="418">
        <v>10</v>
      </c>
      <c r="E45" s="418">
        <v>113</v>
      </c>
      <c r="F45" s="418">
        <v>115</v>
      </c>
      <c r="G45" s="418">
        <v>117</v>
      </c>
      <c r="H45" s="418">
        <v>122</v>
      </c>
      <c r="I45" s="418">
        <v>110</v>
      </c>
      <c r="J45" s="418">
        <v>87</v>
      </c>
      <c r="K45" s="418">
        <v>111</v>
      </c>
      <c r="L45" s="418">
        <v>107</v>
      </c>
      <c r="M45" s="418">
        <v>130</v>
      </c>
      <c r="N45" s="418">
        <v>132</v>
      </c>
      <c r="O45" s="418">
        <v>83</v>
      </c>
      <c r="P45" s="418">
        <v>66</v>
      </c>
      <c r="Q45" s="418">
        <v>72</v>
      </c>
      <c r="R45" s="1269">
        <f t="shared" si="2"/>
        <v>1375</v>
      </c>
      <c r="S45" s="925">
        <f>'[15]Base Membership'!E48</f>
        <v>1394</v>
      </c>
      <c r="T45" s="56">
        <f t="shared" si="1"/>
        <v>-19</v>
      </c>
      <c r="U45" s="269">
        <f t="shared" si="3"/>
        <v>-0.0136</v>
      </c>
      <c r="V45" s="56">
        <f t="shared" si="4"/>
        <v>0</v>
      </c>
      <c r="W45" s="56">
        <f t="shared" si="5"/>
        <v>-19</v>
      </c>
      <c r="Y45" s="761">
        <v>1173</v>
      </c>
      <c r="AA45" s="761">
        <v>164</v>
      </c>
      <c r="AB45" s="761">
        <v>4</v>
      </c>
    </row>
    <row r="46" spans="1:28" ht="12.75">
      <c r="A46" s="124">
        <v>42</v>
      </c>
      <c r="B46" s="124" t="s">
        <v>543</v>
      </c>
      <c r="C46" s="818">
        <v>0</v>
      </c>
      <c r="D46" s="418">
        <v>20</v>
      </c>
      <c r="E46" s="418">
        <v>264</v>
      </c>
      <c r="F46" s="418">
        <v>245</v>
      </c>
      <c r="G46" s="418">
        <v>288</v>
      </c>
      <c r="H46" s="418">
        <v>295</v>
      </c>
      <c r="I46" s="418">
        <v>354</v>
      </c>
      <c r="J46" s="418">
        <v>226</v>
      </c>
      <c r="K46" s="418">
        <v>226</v>
      </c>
      <c r="L46" s="418">
        <v>240</v>
      </c>
      <c r="M46" s="418">
        <v>263</v>
      </c>
      <c r="N46" s="418">
        <v>306</v>
      </c>
      <c r="O46" s="418">
        <v>178</v>
      </c>
      <c r="P46" s="418">
        <v>187</v>
      </c>
      <c r="Q46" s="418">
        <v>200</v>
      </c>
      <c r="R46" s="1269">
        <f t="shared" si="2"/>
        <v>3292</v>
      </c>
      <c r="S46" s="925">
        <f>'[15]Base Membership'!E49</f>
        <v>3284</v>
      </c>
      <c r="T46" s="56">
        <f t="shared" si="1"/>
        <v>8</v>
      </c>
      <c r="U46" s="269">
        <f t="shared" si="3"/>
        <v>0.0024</v>
      </c>
      <c r="V46" s="56">
        <f t="shared" si="4"/>
        <v>8</v>
      </c>
      <c r="W46" s="56">
        <f t="shared" si="5"/>
        <v>0</v>
      </c>
      <c r="Y46" s="761">
        <v>2542</v>
      </c>
      <c r="AA46" s="761">
        <v>412</v>
      </c>
      <c r="AB46" s="761">
        <v>39</v>
      </c>
    </row>
    <row r="47" spans="1:28" ht="12.75">
      <c r="A47" s="124">
        <v>43</v>
      </c>
      <c r="B47" s="124" t="s">
        <v>544</v>
      </c>
      <c r="C47" s="818">
        <v>0</v>
      </c>
      <c r="D47" s="418">
        <v>31</v>
      </c>
      <c r="E47" s="418">
        <v>375</v>
      </c>
      <c r="F47" s="418">
        <v>316</v>
      </c>
      <c r="G47" s="418">
        <v>304</v>
      </c>
      <c r="H47" s="418">
        <v>329</v>
      </c>
      <c r="I47" s="418">
        <v>333</v>
      </c>
      <c r="J47" s="418">
        <v>286</v>
      </c>
      <c r="K47" s="418">
        <v>296</v>
      </c>
      <c r="L47" s="418">
        <v>275</v>
      </c>
      <c r="M47" s="418">
        <v>272</v>
      </c>
      <c r="N47" s="418">
        <v>305</v>
      </c>
      <c r="O47" s="418">
        <v>247</v>
      </c>
      <c r="P47" s="418">
        <v>278</v>
      </c>
      <c r="Q47" s="418">
        <v>266</v>
      </c>
      <c r="R47" s="1269">
        <f t="shared" si="2"/>
        <v>3913</v>
      </c>
      <c r="S47" s="925">
        <f>'[15]Base Membership'!E50</f>
        <v>3927</v>
      </c>
      <c r="T47" s="56">
        <f t="shared" si="1"/>
        <v>-14</v>
      </c>
      <c r="U47" s="269">
        <f t="shared" si="3"/>
        <v>-0.0036</v>
      </c>
      <c r="V47" s="56">
        <f t="shared" si="4"/>
        <v>0</v>
      </c>
      <c r="W47" s="56">
        <f t="shared" si="5"/>
        <v>-14</v>
      </c>
      <c r="Y47" s="762">
        <v>2566</v>
      </c>
      <c r="AA47" s="762">
        <v>535</v>
      </c>
      <c r="AB47" s="762">
        <v>82</v>
      </c>
    </row>
    <row r="48" spans="1:28" ht="12.75">
      <c r="A48" s="124">
        <v>44</v>
      </c>
      <c r="B48" s="124" t="s">
        <v>545</v>
      </c>
      <c r="C48" s="818">
        <v>0</v>
      </c>
      <c r="D48" s="418">
        <v>50</v>
      </c>
      <c r="E48" s="418">
        <v>374</v>
      </c>
      <c r="F48" s="418">
        <v>384</v>
      </c>
      <c r="G48" s="418">
        <v>339</v>
      </c>
      <c r="H48" s="418">
        <v>331</v>
      </c>
      <c r="I48" s="418">
        <v>312</v>
      </c>
      <c r="J48" s="418">
        <v>314</v>
      </c>
      <c r="K48" s="418">
        <v>340</v>
      </c>
      <c r="L48" s="418">
        <v>327</v>
      </c>
      <c r="M48" s="418">
        <v>345</v>
      </c>
      <c r="N48" s="418">
        <v>371</v>
      </c>
      <c r="O48" s="418">
        <v>361</v>
      </c>
      <c r="P48" s="418">
        <v>242</v>
      </c>
      <c r="Q48" s="418">
        <v>269</v>
      </c>
      <c r="R48" s="1269">
        <f t="shared" si="2"/>
        <v>4359</v>
      </c>
      <c r="S48" s="925">
        <f>'[15]Base Membership'!E51</f>
        <v>4037</v>
      </c>
      <c r="T48" s="56">
        <f t="shared" si="1"/>
        <v>322</v>
      </c>
      <c r="U48" s="269">
        <f t="shared" si="3"/>
        <v>0.0798</v>
      </c>
      <c r="V48" s="56">
        <f t="shared" si="4"/>
        <v>322</v>
      </c>
      <c r="W48" s="56">
        <f t="shared" si="5"/>
        <v>0</v>
      </c>
      <c r="Y48" s="762">
        <v>3031</v>
      </c>
      <c r="AA48" s="762">
        <v>491</v>
      </c>
      <c r="AB48" s="762">
        <v>97</v>
      </c>
    </row>
    <row r="49" spans="1:28" ht="12.75">
      <c r="A49" s="125">
        <v>45</v>
      </c>
      <c r="B49" s="125" t="s">
        <v>546</v>
      </c>
      <c r="C49" s="819">
        <v>1</v>
      </c>
      <c r="D49" s="426">
        <v>83</v>
      </c>
      <c r="E49" s="426">
        <v>684</v>
      </c>
      <c r="F49" s="426">
        <v>643</v>
      </c>
      <c r="G49" s="426">
        <v>729</v>
      </c>
      <c r="H49" s="426">
        <v>734</v>
      </c>
      <c r="I49" s="426">
        <v>732</v>
      </c>
      <c r="J49" s="426">
        <v>735</v>
      </c>
      <c r="K49" s="426">
        <v>698</v>
      </c>
      <c r="L49" s="426">
        <v>731</v>
      </c>
      <c r="M49" s="426">
        <v>745</v>
      </c>
      <c r="N49" s="426">
        <v>823</v>
      </c>
      <c r="O49" s="426">
        <v>667</v>
      </c>
      <c r="P49" s="426">
        <v>607</v>
      </c>
      <c r="Q49" s="426">
        <v>643</v>
      </c>
      <c r="R49" s="1270">
        <f t="shared" si="2"/>
        <v>9255</v>
      </c>
      <c r="S49" s="926">
        <f>'[15]Base Membership'!E52</f>
        <v>9259</v>
      </c>
      <c r="T49" s="57">
        <f t="shared" si="1"/>
        <v>-4</v>
      </c>
      <c r="U49" s="270">
        <f t="shared" si="3"/>
        <v>-0.0004</v>
      </c>
      <c r="V49" s="57">
        <f t="shared" si="4"/>
        <v>0</v>
      </c>
      <c r="W49" s="57">
        <f t="shared" si="5"/>
        <v>-4</v>
      </c>
      <c r="Y49" s="763">
        <v>4236</v>
      </c>
      <c r="AA49" s="763">
        <v>1062</v>
      </c>
      <c r="AB49" s="763">
        <v>585</v>
      </c>
    </row>
    <row r="50" spans="1:28" ht="12.75">
      <c r="A50" s="124">
        <v>46</v>
      </c>
      <c r="B50" s="124" t="s">
        <v>547</v>
      </c>
      <c r="C50" s="818">
        <v>0</v>
      </c>
      <c r="D50" s="418">
        <v>9</v>
      </c>
      <c r="E50" s="418">
        <v>97</v>
      </c>
      <c r="F50" s="418">
        <v>101</v>
      </c>
      <c r="G50" s="418">
        <v>80</v>
      </c>
      <c r="H50" s="418">
        <v>78</v>
      </c>
      <c r="I50" s="418">
        <v>101</v>
      </c>
      <c r="J50" s="418">
        <v>86</v>
      </c>
      <c r="K50" s="418">
        <v>81</v>
      </c>
      <c r="L50" s="418">
        <v>98</v>
      </c>
      <c r="M50" s="418">
        <v>90</v>
      </c>
      <c r="N50" s="418">
        <v>104</v>
      </c>
      <c r="O50" s="418">
        <v>89</v>
      </c>
      <c r="P50" s="418">
        <v>62</v>
      </c>
      <c r="Q50" s="418">
        <v>64</v>
      </c>
      <c r="R50" s="761">
        <f t="shared" si="2"/>
        <v>1140</v>
      </c>
      <c r="S50" s="925">
        <f>'[15]Base Membership'!E53</f>
        <v>1200</v>
      </c>
      <c r="T50" s="56">
        <f t="shared" si="1"/>
        <v>-60</v>
      </c>
      <c r="U50" s="269">
        <f t="shared" si="3"/>
        <v>-0.05</v>
      </c>
      <c r="V50" s="56">
        <f t="shared" si="4"/>
        <v>0</v>
      </c>
      <c r="W50" s="56">
        <f t="shared" si="5"/>
        <v>-60</v>
      </c>
      <c r="Y50" s="761">
        <v>1097</v>
      </c>
      <c r="AA50" s="761">
        <v>204</v>
      </c>
      <c r="AB50" s="761">
        <v>15</v>
      </c>
    </row>
    <row r="51" spans="1:28" ht="12.75">
      <c r="A51" s="124">
        <v>47</v>
      </c>
      <c r="B51" s="124" t="s">
        <v>548</v>
      </c>
      <c r="C51" s="818">
        <v>22</v>
      </c>
      <c r="D51" s="418">
        <v>43</v>
      </c>
      <c r="E51" s="418">
        <v>275</v>
      </c>
      <c r="F51" s="418">
        <v>300</v>
      </c>
      <c r="G51" s="418">
        <v>288</v>
      </c>
      <c r="H51" s="418">
        <v>286</v>
      </c>
      <c r="I51" s="418">
        <v>311</v>
      </c>
      <c r="J51" s="418">
        <v>243</v>
      </c>
      <c r="K51" s="418">
        <v>269</v>
      </c>
      <c r="L51" s="418">
        <v>298</v>
      </c>
      <c r="M51" s="418">
        <v>347</v>
      </c>
      <c r="N51" s="418">
        <v>323</v>
      </c>
      <c r="O51" s="418">
        <v>309</v>
      </c>
      <c r="P51" s="418">
        <v>217</v>
      </c>
      <c r="Q51" s="418">
        <v>245</v>
      </c>
      <c r="R51" s="761">
        <f t="shared" si="2"/>
        <v>3776</v>
      </c>
      <c r="S51" s="925">
        <f>'[15]Base Membership'!E54</f>
        <v>3835</v>
      </c>
      <c r="T51" s="56">
        <f t="shared" si="1"/>
        <v>-59</v>
      </c>
      <c r="U51" s="269">
        <f t="shared" si="3"/>
        <v>-0.0154</v>
      </c>
      <c r="V51" s="56">
        <f t="shared" si="4"/>
        <v>0</v>
      </c>
      <c r="W51" s="56">
        <f t="shared" si="5"/>
        <v>-59</v>
      </c>
      <c r="Y51" s="761">
        <v>2510</v>
      </c>
      <c r="AA51" s="761">
        <v>510</v>
      </c>
      <c r="AB51" s="761">
        <v>74</v>
      </c>
    </row>
    <row r="52" spans="1:28" ht="12.75">
      <c r="A52" s="124">
        <v>48</v>
      </c>
      <c r="B52" s="124" t="s">
        <v>549</v>
      </c>
      <c r="C52" s="818">
        <v>0</v>
      </c>
      <c r="D52" s="418">
        <v>84</v>
      </c>
      <c r="E52" s="418">
        <v>477</v>
      </c>
      <c r="F52" s="418">
        <v>550</v>
      </c>
      <c r="G52" s="418">
        <v>488</v>
      </c>
      <c r="H52" s="418">
        <v>551</v>
      </c>
      <c r="I52" s="418">
        <v>525</v>
      </c>
      <c r="J52" s="418">
        <v>437</v>
      </c>
      <c r="K52" s="418">
        <v>496</v>
      </c>
      <c r="L52" s="418">
        <v>502</v>
      </c>
      <c r="M52" s="418">
        <v>424</v>
      </c>
      <c r="N52" s="418">
        <v>491</v>
      </c>
      <c r="O52" s="418">
        <v>422</v>
      </c>
      <c r="P52" s="418">
        <v>335</v>
      </c>
      <c r="Q52" s="418">
        <v>296</v>
      </c>
      <c r="R52" s="762">
        <f t="shared" si="2"/>
        <v>6078</v>
      </c>
      <c r="S52" s="925">
        <f>'[15]Base Membership'!E55</f>
        <v>6246</v>
      </c>
      <c r="T52" s="56">
        <f t="shared" si="1"/>
        <v>-168</v>
      </c>
      <c r="U52" s="269">
        <f t="shared" si="3"/>
        <v>-0.0269</v>
      </c>
      <c r="V52" s="56">
        <f t="shared" si="4"/>
        <v>0</v>
      </c>
      <c r="W52" s="56">
        <f t="shared" si="5"/>
        <v>-168</v>
      </c>
      <c r="Y52" s="762">
        <v>5155</v>
      </c>
      <c r="AA52" s="762">
        <v>913</v>
      </c>
      <c r="AB52" s="762">
        <v>111</v>
      </c>
    </row>
    <row r="53" spans="1:28" ht="12.75">
      <c r="A53" s="124">
        <v>49</v>
      </c>
      <c r="B53" s="124" t="s">
        <v>550</v>
      </c>
      <c r="C53" s="818">
        <v>44</v>
      </c>
      <c r="D53" s="418">
        <v>93</v>
      </c>
      <c r="E53" s="418">
        <v>1279</v>
      </c>
      <c r="F53" s="418">
        <v>1338</v>
      </c>
      <c r="G53" s="418">
        <v>1300</v>
      </c>
      <c r="H53" s="418">
        <v>1251</v>
      </c>
      <c r="I53" s="418">
        <v>1327</v>
      </c>
      <c r="J53" s="418">
        <v>1113</v>
      </c>
      <c r="K53" s="418">
        <v>1091</v>
      </c>
      <c r="L53" s="418">
        <v>1213</v>
      </c>
      <c r="M53" s="418">
        <v>946</v>
      </c>
      <c r="N53" s="418">
        <v>1109</v>
      </c>
      <c r="O53" s="418">
        <v>846</v>
      </c>
      <c r="P53" s="418">
        <v>788</v>
      </c>
      <c r="Q53" s="418">
        <v>731</v>
      </c>
      <c r="R53" s="762">
        <f t="shared" si="2"/>
        <v>14469</v>
      </c>
      <c r="S53" s="925">
        <f>'[15]Base Membership'!E56</f>
        <v>14664</v>
      </c>
      <c r="T53" s="56">
        <f t="shared" si="1"/>
        <v>-195</v>
      </c>
      <c r="U53" s="269">
        <f t="shared" si="3"/>
        <v>-0.0133</v>
      </c>
      <c r="V53" s="56">
        <f t="shared" si="4"/>
        <v>0</v>
      </c>
      <c r="W53" s="56">
        <f t="shared" si="5"/>
        <v>-195</v>
      </c>
      <c r="Y53" s="762">
        <v>10731</v>
      </c>
      <c r="AA53" s="762">
        <v>2093</v>
      </c>
      <c r="AB53" s="762">
        <v>306</v>
      </c>
    </row>
    <row r="54" spans="1:28" ht="12.75">
      <c r="A54" s="125">
        <v>50</v>
      </c>
      <c r="B54" s="125" t="s">
        <v>551</v>
      </c>
      <c r="C54" s="819">
        <v>9</v>
      </c>
      <c r="D54" s="426">
        <v>85</v>
      </c>
      <c r="E54" s="426">
        <v>580</v>
      </c>
      <c r="F54" s="426">
        <v>694</v>
      </c>
      <c r="G54" s="426">
        <v>618</v>
      </c>
      <c r="H54" s="426">
        <v>683</v>
      </c>
      <c r="I54" s="426">
        <v>649</v>
      </c>
      <c r="J54" s="426">
        <v>603</v>
      </c>
      <c r="K54" s="426">
        <v>590</v>
      </c>
      <c r="L54" s="426">
        <v>633</v>
      </c>
      <c r="M54" s="426">
        <v>639</v>
      </c>
      <c r="N54" s="426">
        <v>645</v>
      </c>
      <c r="O54" s="426">
        <v>525</v>
      </c>
      <c r="P54" s="426">
        <v>523</v>
      </c>
      <c r="Q54" s="426">
        <v>483</v>
      </c>
      <c r="R54" s="763">
        <f t="shared" si="2"/>
        <v>7959</v>
      </c>
      <c r="S54" s="926">
        <f>'[15]Base Membership'!E57</f>
        <v>8065</v>
      </c>
      <c r="T54" s="57">
        <f t="shared" si="1"/>
        <v>-106</v>
      </c>
      <c r="U54" s="270">
        <f t="shared" si="3"/>
        <v>-0.0131</v>
      </c>
      <c r="V54" s="57">
        <f t="shared" si="4"/>
        <v>0</v>
      </c>
      <c r="W54" s="57">
        <f t="shared" si="5"/>
        <v>-106</v>
      </c>
      <c r="Y54" s="763">
        <v>5381</v>
      </c>
      <c r="AA54" s="763">
        <v>1064</v>
      </c>
      <c r="AB54" s="763">
        <v>98</v>
      </c>
    </row>
    <row r="55" spans="1:28" ht="12.75">
      <c r="A55" s="124">
        <v>51</v>
      </c>
      <c r="B55" s="124" t="s">
        <v>552</v>
      </c>
      <c r="C55" s="818">
        <v>40</v>
      </c>
      <c r="D55" s="418">
        <v>97</v>
      </c>
      <c r="E55" s="418">
        <v>660</v>
      </c>
      <c r="F55" s="418">
        <v>752</v>
      </c>
      <c r="G55" s="418">
        <v>690</v>
      </c>
      <c r="H55" s="418">
        <v>692</v>
      </c>
      <c r="I55" s="418">
        <v>755</v>
      </c>
      <c r="J55" s="418">
        <v>687</v>
      </c>
      <c r="K55" s="418">
        <v>699</v>
      </c>
      <c r="L55" s="418">
        <v>703</v>
      </c>
      <c r="M55" s="418">
        <v>695</v>
      </c>
      <c r="N55" s="418">
        <v>799</v>
      </c>
      <c r="O55" s="418">
        <v>680</v>
      </c>
      <c r="P55" s="418">
        <v>626</v>
      </c>
      <c r="Q55" s="418">
        <v>566</v>
      </c>
      <c r="R55" s="761">
        <f t="shared" si="2"/>
        <v>9141</v>
      </c>
      <c r="S55" s="925">
        <f>'[15]Base Membership'!E58</f>
        <v>9245</v>
      </c>
      <c r="T55" s="56">
        <f t="shared" si="1"/>
        <v>-104</v>
      </c>
      <c r="U55" s="269">
        <f t="shared" si="3"/>
        <v>-0.0112</v>
      </c>
      <c r="V55" s="56">
        <f t="shared" si="4"/>
        <v>0</v>
      </c>
      <c r="W55" s="56">
        <f t="shared" si="5"/>
        <v>-104</v>
      </c>
      <c r="Y55" s="761">
        <v>6379</v>
      </c>
      <c r="AA55" s="761">
        <v>1463</v>
      </c>
      <c r="AB55" s="761">
        <v>420</v>
      </c>
    </row>
    <row r="56" spans="1:28" ht="12.75">
      <c r="A56" s="124">
        <v>52</v>
      </c>
      <c r="B56" s="124" t="s">
        <v>553</v>
      </c>
      <c r="C56" s="818">
        <v>0</v>
      </c>
      <c r="D56" s="418">
        <v>492</v>
      </c>
      <c r="E56" s="418">
        <v>2627</v>
      </c>
      <c r="F56" s="418">
        <v>3067</v>
      </c>
      <c r="G56" s="418">
        <v>2612</v>
      </c>
      <c r="H56" s="418">
        <v>2699</v>
      </c>
      <c r="I56" s="418">
        <v>2906</v>
      </c>
      <c r="J56" s="418">
        <v>2554</v>
      </c>
      <c r="K56" s="418">
        <v>2473</v>
      </c>
      <c r="L56" s="418">
        <v>2744</v>
      </c>
      <c r="M56" s="418">
        <v>2682</v>
      </c>
      <c r="N56" s="418">
        <v>2857</v>
      </c>
      <c r="O56" s="418">
        <v>2491</v>
      </c>
      <c r="P56" s="418">
        <v>2340</v>
      </c>
      <c r="Q56" s="418">
        <v>2309</v>
      </c>
      <c r="R56" s="761">
        <f t="shared" si="2"/>
        <v>34853</v>
      </c>
      <c r="S56" s="925">
        <f>'[15]Base Membership'!E59</f>
        <v>34586</v>
      </c>
      <c r="T56" s="56">
        <f t="shared" si="1"/>
        <v>267</v>
      </c>
      <c r="U56" s="269">
        <f t="shared" si="3"/>
        <v>0.0077</v>
      </c>
      <c r="V56" s="56">
        <f t="shared" si="4"/>
        <v>267</v>
      </c>
      <c r="W56" s="56">
        <f t="shared" si="5"/>
        <v>0</v>
      </c>
      <c r="Y56" s="761">
        <v>14679</v>
      </c>
      <c r="AA56" s="761">
        <v>6100</v>
      </c>
      <c r="AB56" s="761">
        <v>3098</v>
      </c>
    </row>
    <row r="57" spans="1:28" ht="12.75">
      <c r="A57" s="124">
        <v>53</v>
      </c>
      <c r="B57" s="124" t="s">
        <v>554</v>
      </c>
      <c r="C57" s="818">
        <v>0</v>
      </c>
      <c r="D57" s="418">
        <v>56</v>
      </c>
      <c r="E57" s="418">
        <v>1385</v>
      </c>
      <c r="F57" s="418">
        <v>1596</v>
      </c>
      <c r="G57" s="418">
        <v>1514</v>
      </c>
      <c r="H57" s="418">
        <v>1528</v>
      </c>
      <c r="I57" s="418">
        <v>1611</v>
      </c>
      <c r="J57" s="418">
        <v>1412</v>
      </c>
      <c r="K57" s="418">
        <v>1430</v>
      </c>
      <c r="L57" s="418">
        <v>1452</v>
      </c>
      <c r="M57" s="418">
        <v>1543</v>
      </c>
      <c r="N57" s="418">
        <v>1599</v>
      </c>
      <c r="O57" s="418">
        <v>1186</v>
      </c>
      <c r="P57" s="418">
        <v>1205</v>
      </c>
      <c r="Q57" s="418">
        <v>1080</v>
      </c>
      <c r="R57" s="762">
        <f t="shared" si="2"/>
        <v>18597</v>
      </c>
      <c r="S57" s="925">
        <f>'[15]Base Membership'!E60</f>
        <v>18816</v>
      </c>
      <c r="T57" s="56">
        <f t="shared" si="1"/>
        <v>-219</v>
      </c>
      <c r="U57" s="269">
        <f t="shared" si="3"/>
        <v>-0.0116</v>
      </c>
      <c r="V57" s="56">
        <f t="shared" si="4"/>
        <v>0</v>
      </c>
      <c r="W57" s="56">
        <f t="shared" si="5"/>
        <v>-219</v>
      </c>
      <c r="Y57" s="762">
        <v>13243</v>
      </c>
      <c r="AA57" s="762">
        <v>2343</v>
      </c>
      <c r="AB57" s="762">
        <v>307</v>
      </c>
    </row>
    <row r="58" spans="1:28" ht="12.75">
      <c r="A58" s="124">
        <v>54</v>
      </c>
      <c r="B58" s="124" t="s">
        <v>555</v>
      </c>
      <c r="C58" s="818">
        <v>0</v>
      </c>
      <c r="D58" s="418">
        <v>6</v>
      </c>
      <c r="E58" s="418">
        <v>63</v>
      </c>
      <c r="F58" s="418">
        <v>71</v>
      </c>
      <c r="G58" s="418">
        <v>65</v>
      </c>
      <c r="H58" s="418">
        <v>65</v>
      </c>
      <c r="I58" s="418">
        <v>83</v>
      </c>
      <c r="J58" s="418">
        <v>50</v>
      </c>
      <c r="K58" s="418">
        <v>37</v>
      </c>
      <c r="L58" s="418">
        <v>62</v>
      </c>
      <c r="M58" s="418">
        <v>51</v>
      </c>
      <c r="N58" s="418">
        <v>58</v>
      </c>
      <c r="O58" s="418">
        <v>33</v>
      </c>
      <c r="P58" s="418">
        <v>42</v>
      </c>
      <c r="Q58" s="418">
        <v>30</v>
      </c>
      <c r="R58" s="762">
        <f t="shared" si="2"/>
        <v>716</v>
      </c>
      <c r="S58" s="56">
        <f>'[15]Base Membership'!E61</f>
        <v>729</v>
      </c>
      <c r="T58" s="56">
        <f t="shared" si="1"/>
        <v>-13</v>
      </c>
      <c r="U58" s="269">
        <f t="shared" si="3"/>
        <v>-0.0178</v>
      </c>
      <c r="V58" s="56">
        <f t="shared" si="4"/>
        <v>0</v>
      </c>
      <c r="W58" s="56">
        <f t="shared" si="5"/>
        <v>-13</v>
      </c>
      <c r="Y58" s="762">
        <v>674</v>
      </c>
      <c r="AA58" s="762">
        <v>129</v>
      </c>
      <c r="AB58" s="762">
        <v>23</v>
      </c>
    </row>
    <row r="59" spans="1:28" ht="12.75">
      <c r="A59" s="125">
        <v>55</v>
      </c>
      <c r="B59" s="125" t="s">
        <v>556</v>
      </c>
      <c r="C59" s="819">
        <v>32</v>
      </c>
      <c r="D59" s="426">
        <v>250</v>
      </c>
      <c r="E59" s="426">
        <v>1374</v>
      </c>
      <c r="F59" s="426">
        <v>1509</v>
      </c>
      <c r="G59" s="426">
        <v>1444</v>
      </c>
      <c r="H59" s="426">
        <v>1412</v>
      </c>
      <c r="I59" s="426">
        <v>1643</v>
      </c>
      <c r="J59" s="426">
        <v>1365</v>
      </c>
      <c r="K59" s="426">
        <v>1225</v>
      </c>
      <c r="L59" s="426">
        <v>1509</v>
      </c>
      <c r="M59" s="426">
        <v>1386</v>
      </c>
      <c r="N59" s="426">
        <v>1283</v>
      </c>
      <c r="O59" s="426">
        <v>1074</v>
      </c>
      <c r="P59" s="426">
        <v>1280</v>
      </c>
      <c r="Q59" s="426">
        <v>1167</v>
      </c>
      <c r="R59" s="763">
        <f t="shared" si="2"/>
        <v>17953</v>
      </c>
      <c r="S59" s="57">
        <f>'[15]Base Membership'!E62</f>
        <v>18313</v>
      </c>
      <c r="T59" s="57">
        <f t="shared" si="1"/>
        <v>-360</v>
      </c>
      <c r="U59" s="270">
        <f t="shared" si="3"/>
        <v>-0.0197</v>
      </c>
      <c r="V59" s="57">
        <f t="shared" si="4"/>
        <v>0</v>
      </c>
      <c r="W59" s="57">
        <f t="shared" si="5"/>
        <v>-360</v>
      </c>
      <c r="Y59" s="763">
        <v>10984</v>
      </c>
      <c r="AA59" s="763">
        <v>2363</v>
      </c>
      <c r="AB59" s="763">
        <v>785</v>
      </c>
    </row>
    <row r="60" spans="1:28" ht="12.75">
      <c r="A60" s="124">
        <v>56</v>
      </c>
      <c r="B60" s="124" t="s">
        <v>557</v>
      </c>
      <c r="C60" s="818">
        <v>0</v>
      </c>
      <c r="D60" s="418">
        <v>29</v>
      </c>
      <c r="E60" s="418">
        <v>247</v>
      </c>
      <c r="F60" s="418">
        <v>224</v>
      </c>
      <c r="G60" s="418">
        <v>234</v>
      </c>
      <c r="H60" s="418">
        <v>239</v>
      </c>
      <c r="I60" s="418">
        <v>262</v>
      </c>
      <c r="J60" s="418">
        <v>185</v>
      </c>
      <c r="K60" s="418">
        <v>191</v>
      </c>
      <c r="L60" s="418">
        <v>233</v>
      </c>
      <c r="M60" s="418">
        <v>235</v>
      </c>
      <c r="N60" s="418">
        <v>234</v>
      </c>
      <c r="O60" s="418">
        <v>183</v>
      </c>
      <c r="P60" s="418">
        <v>145</v>
      </c>
      <c r="Q60" s="418">
        <v>152</v>
      </c>
      <c r="R60" s="761">
        <f t="shared" si="2"/>
        <v>2793</v>
      </c>
      <c r="S60" s="56">
        <f>'[15]Base Membership'!E63</f>
        <v>2782</v>
      </c>
      <c r="T60" s="56">
        <f t="shared" si="1"/>
        <v>11</v>
      </c>
      <c r="U60" s="269">
        <f t="shared" si="3"/>
        <v>0.004</v>
      </c>
      <c r="V60" s="56">
        <f t="shared" si="4"/>
        <v>11</v>
      </c>
      <c r="W60" s="56">
        <f t="shared" si="5"/>
        <v>0</v>
      </c>
      <c r="Y60" s="761">
        <v>2107</v>
      </c>
      <c r="AA60" s="761">
        <v>378</v>
      </c>
      <c r="AB60" s="761">
        <v>21</v>
      </c>
    </row>
    <row r="61" spans="1:28" ht="12.75">
      <c r="A61" s="124">
        <v>57</v>
      </c>
      <c r="B61" s="124" t="s">
        <v>558</v>
      </c>
      <c r="C61" s="818">
        <v>38</v>
      </c>
      <c r="D61" s="418">
        <v>107</v>
      </c>
      <c r="E61" s="418">
        <v>745</v>
      </c>
      <c r="F61" s="418">
        <v>773</v>
      </c>
      <c r="G61" s="418">
        <v>690</v>
      </c>
      <c r="H61" s="418">
        <v>744</v>
      </c>
      <c r="I61" s="418">
        <v>782</v>
      </c>
      <c r="J61" s="418">
        <v>682</v>
      </c>
      <c r="K61" s="418">
        <v>623</v>
      </c>
      <c r="L61" s="418">
        <v>639</v>
      </c>
      <c r="M61" s="418">
        <v>606</v>
      </c>
      <c r="N61" s="418">
        <v>646</v>
      </c>
      <c r="O61" s="418">
        <v>548</v>
      </c>
      <c r="P61" s="418">
        <v>474</v>
      </c>
      <c r="Q61" s="418">
        <v>481</v>
      </c>
      <c r="R61" s="761">
        <f t="shared" si="2"/>
        <v>8578</v>
      </c>
      <c r="S61" s="56">
        <f>'[15]Base Membership'!E64</f>
        <v>8630</v>
      </c>
      <c r="T61" s="56">
        <f t="shared" si="1"/>
        <v>-52</v>
      </c>
      <c r="U61" s="269">
        <f t="shared" si="3"/>
        <v>-0.006</v>
      </c>
      <c r="V61" s="56">
        <f t="shared" si="4"/>
        <v>0</v>
      </c>
      <c r="W61" s="56">
        <f t="shared" si="5"/>
        <v>-52</v>
      </c>
      <c r="Y61" s="761">
        <v>5014</v>
      </c>
      <c r="AA61" s="761">
        <v>1250</v>
      </c>
      <c r="AB61" s="761">
        <v>144</v>
      </c>
    </row>
    <row r="62" spans="1:28" ht="12.75">
      <c r="A62" s="124">
        <v>58</v>
      </c>
      <c r="B62" s="124" t="s">
        <v>559</v>
      </c>
      <c r="C62" s="818">
        <v>0</v>
      </c>
      <c r="D62" s="418">
        <v>72</v>
      </c>
      <c r="E62" s="418">
        <v>856</v>
      </c>
      <c r="F62" s="418">
        <v>836</v>
      </c>
      <c r="G62" s="418">
        <v>772</v>
      </c>
      <c r="H62" s="418">
        <v>765</v>
      </c>
      <c r="I62" s="418">
        <v>781</v>
      </c>
      <c r="J62" s="418">
        <v>739</v>
      </c>
      <c r="K62" s="418">
        <v>685</v>
      </c>
      <c r="L62" s="418">
        <v>720</v>
      </c>
      <c r="M62" s="418">
        <v>664</v>
      </c>
      <c r="N62" s="418">
        <v>697</v>
      </c>
      <c r="O62" s="418">
        <v>588</v>
      </c>
      <c r="P62" s="418">
        <v>459</v>
      </c>
      <c r="Q62" s="418">
        <v>473</v>
      </c>
      <c r="R62" s="762">
        <f t="shared" si="2"/>
        <v>9107</v>
      </c>
      <c r="S62" s="56">
        <f>'[15]Base Membership'!E65</f>
        <v>8872</v>
      </c>
      <c r="T62" s="56">
        <f t="shared" si="1"/>
        <v>235</v>
      </c>
      <c r="U62" s="269">
        <f t="shared" si="3"/>
        <v>0.0265</v>
      </c>
      <c r="V62" s="56">
        <f t="shared" si="4"/>
        <v>235</v>
      </c>
      <c r="W62" s="56">
        <f t="shared" si="5"/>
        <v>0</v>
      </c>
      <c r="Y62" s="762">
        <v>5040</v>
      </c>
      <c r="AA62" s="762">
        <v>1347</v>
      </c>
      <c r="AB62" s="762">
        <v>333</v>
      </c>
    </row>
    <row r="63" spans="1:28" ht="12.75">
      <c r="A63" s="124">
        <v>59</v>
      </c>
      <c r="B63" s="124" t="s">
        <v>560</v>
      </c>
      <c r="C63" s="818">
        <v>0</v>
      </c>
      <c r="D63" s="418">
        <v>52</v>
      </c>
      <c r="E63" s="418">
        <v>382</v>
      </c>
      <c r="F63" s="418">
        <v>403</v>
      </c>
      <c r="G63" s="418">
        <v>393</v>
      </c>
      <c r="H63" s="418">
        <v>407</v>
      </c>
      <c r="I63" s="418">
        <v>437</v>
      </c>
      <c r="J63" s="418">
        <v>419</v>
      </c>
      <c r="K63" s="418">
        <v>369</v>
      </c>
      <c r="L63" s="418">
        <v>413</v>
      </c>
      <c r="M63" s="418">
        <v>403</v>
      </c>
      <c r="N63" s="418">
        <v>398</v>
      </c>
      <c r="O63" s="418">
        <v>305</v>
      </c>
      <c r="P63" s="418">
        <v>360</v>
      </c>
      <c r="Q63" s="418">
        <v>302</v>
      </c>
      <c r="R63" s="762">
        <f t="shared" si="2"/>
        <v>5043</v>
      </c>
      <c r="S63" s="56">
        <f>'[15]Base Membership'!E66</f>
        <v>5027</v>
      </c>
      <c r="T63" s="56">
        <f t="shared" si="1"/>
        <v>16</v>
      </c>
      <c r="U63" s="269">
        <f t="shared" si="3"/>
        <v>0.0032</v>
      </c>
      <c r="V63" s="56">
        <f t="shared" si="4"/>
        <v>16</v>
      </c>
      <c r="W63" s="56">
        <f t="shared" si="5"/>
        <v>0</v>
      </c>
      <c r="Y63" s="762">
        <v>4181</v>
      </c>
      <c r="AA63" s="762">
        <v>839</v>
      </c>
      <c r="AB63" s="762">
        <v>268</v>
      </c>
    </row>
    <row r="64" spans="1:28" ht="12.75">
      <c r="A64" s="125">
        <v>60</v>
      </c>
      <c r="B64" s="125" t="s">
        <v>561</v>
      </c>
      <c r="C64" s="819">
        <v>0</v>
      </c>
      <c r="D64" s="426">
        <v>55</v>
      </c>
      <c r="E64" s="426">
        <v>495</v>
      </c>
      <c r="F64" s="426">
        <v>612</v>
      </c>
      <c r="G64" s="426">
        <v>607</v>
      </c>
      <c r="H64" s="426">
        <v>521</v>
      </c>
      <c r="I64" s="426">
        <v>632</v>
      </c>
      <c r="J64" s="426">
        <v>523</v>
      </c>
      <c r="K64" s="426">
        <v>483</v>
      </c>
      <c r="L64" s="426">
        <v>609</v>
      </c>
      <c r="M64" s="426">
        <v>582</v>
      </c>
      <c r="N64" s="426">
        <v>606</v>
      </c>
      <c r="O64" s="426">
        <v>386</v>
      </c>
      <c r="P64" s="426">
        <v>409</v>
      </c>
      <c r="Q64" s="426">
        <v>392</v>
      </c>
      <c r="R64" s="763">
        <f t="shared" si="2"/>
        <v>6912</v>
      </c>
      <c r="S64" s="57">
        <f>'[15]Base Membership'!E67</f>
        <v>6979</v>
      </c>
      <c r="T64" s="57">
        <f t="shared" si="1"/>
        <v>-67</v>
      </c>
      <c r="U64" s="270">
        <f t="shared" si="3"/>
        <v>-0.0096</v>
      </c>
      <c r="V64" s="57">
        <f t="shared" si="4"/>
        <v>0</v>
      </c>
      <c r="W64" s="57">
        <f t="shared" si="5"/>
        <v>-67</v>
      </c>
      <c r="Y64" s="763">
        <v>4316</v>
      </c>
      <c r="AA64" s="763">
        <v>859</v>
      </c>
      <c r="AB64" s="763">
        <v>202</v>
      </c>
    </row>
    <row r="65" spans="1:28" ht="12.75">
      <c r="A65" s="124">
        <v>61</v>
      </c>
      <c r="B65" s="124" t="s">
        <v>562</v>
      </c>
      <c r="C65" s="818">
        <v>0</v>
      </c>
      <c r="D65" s="418">
        <v>28</v>
      </c>
      <c r="E65" s="418">
        <v>282</v>
      </c>
      <c r="F65" s="418">
        <v>265</v>
      </c>
      <c r="G65" s="418">
        <v>290</v>
      </c>
      <c r="H65" s="418">
        <v>269</v>
      </c>
      <c r="I65" s="418">
        <v>309</v>
      </c>
      <c r="J65" s="418">
        <v>288</v>
      </c>
      <c r="K65" s="418">
        <v>231</v>
      </c>
      <c r="L65" s="418">
        <v>277</v>
      </c>
      <c r="M65" s="418">
        <v>261</v>
      </c>
      <c r="N65" s="418">
        <v>299</v>
      </c>
      <c r="O65" s="418">
        <v>212</v>
      </c>
      <c r="P65" s="418">
        <v>238</v>
      </c>
      <c r="Q65" s="418">
        <v>215</v>
      </c>
      <c r="R65" s="761">
        <f t="shared" si="2"/>
        <v>3464</v>
      </c>
      <c r="S65" s="56">
        <f>'[15]Base Membership'!E68</f>
        <v>3426</v>
      </c>
      <c r="T65" s="56">
        <f t="shared" si="1"/>
        <v>38</v>
      </c>
      <c r="U65" s="269">
        <f t="shared" si="3"/>
        <v>0.0111</v>
      </c>
      <c r="V65" s="56">
        <f t="shared" si="4"/>
        <v>38</v>
      </c>
      <c r="W65" s="56">
        <f t="shared" si="5"/>
        <v>0</v>
      </c>
      <c r="Y65" s="761">
        <v>2218</v>
      </c>
      <c r="AA65" s="761">
        <v>420</v>
      </c>
      <c r="AB65" s="761">
        <v>134</v>
      </c>
    </row>
    <row r="66" spans="1:28" ht="12.75">
      <c r="A66" s="124">
        <v>62</v>
      </c>
      <c r="B66" s="124" t="s">
        <v>563</v>
      </c>
      <c r="C66" s="818">
        <v>0</v>
      </c>
      <c r="D66" s="418">
        <v>20</v>
      </c>
      <c r="E66" s="418">
        <v>164</v>
      </c>
      <c r="F66" s="418">
        <v>177</v>
      </c>
      <c r="G66" s="418">
        <v>176</v>
      </c>
      <c r="H66" s="418">
        <v>158</v>
      </c>
      <c r="I66" s="418">
        <v>188</v>
      </c>
      <c r="J66" s="418">
        <v>167</v>
      </c>
      <c r="K66" s="418">
        <v>148</v>
      </c>
      <c r="L66" s="418">
        <v>190</v>
      </c>
      <c r="M66" s="418">
        <v>161</v>
      </c>
      <c r="N66" s="418">
        <v>155</v>
      </c>
      <c r="O66" s="418">
        <v>150</v>
      </c>
      <c r="P66" s="418">
        <v>138</v>
      </c>
      <c r="Q66" s="418">
        <v>116</v>
      </c>
      <c r="R66" s="761">
        <f t="shared" si="2"/>
        <v>2108</v>
      </c>
      <c r="S66" s="56">
        <f>'[15]Base Membership'!E69</f>
        <v>2196</v>
      </c>
      <c r="T66" s="56">
        <f t="shared" si="1"/>
        <v>-88</v>
      </c>
      <c r="U66" s="269">
        <f t="shared" si="3"/>
        <v>-0.0401</v>
      </c>
      <c r="V66" s="56">
        <f t="shared" si="4"/>
        <v>0</v>
      </c>
      <c r="W66" s="56">
        <f t="shared" si="5"/>
        <v>-88</v>
      </c>
      <c r="Y66" s="761">
        <v>1485</v>
      </c>
      <c r="AA66" s="761">
        <v>249</v>
      </c>
      <c r="AB66" s="761">
        <v>32</v>
      </c>
    </row>
    <row r="67" spans="1:28" ht="12.75">
      <c r="A67" s="124">
        <v>63</v>
      </c>
      <c r="B67" s="124" t="s">
        <v>564</v>
      </c>
      <c r="C67" s="818">
        <v>0</v>
      </c>
      <c r="D67" s="418">
        <v>21</v>
      </c>
      <c r="E67" s="418">
        <v>146</v>
      </c>
      <c r="F67" s="418">
        <v>145</v>
      </c>
      <c r="G67" s="418">
        <v>150</v>
      </c>
      <c r="H67" s="418">
        <v>202</v>
      </c>
      <c r="I67" s="418">
        <v>180</v>
      </c>
      <c r="J67" s="418">
        <v>161</v>
      </c>
      <c r="K67" s="418">
        <v>142</v>
      </c>
      <c r="L67" s="418">
        <v>182</v>
      </c>
      <c r="M67" s="418">
        <v>180</v>
      </c>
      <c r="N67" s="418">
        <v>156</v>
      </c>
      <c r="O67" s="418">
        <v>168</v>
      </c>
      <c r="P67" s="418">
        <v>130</v>
      </c>
      <c r="Q67" s="418">
        <v>153</v>
      </c>
      <c r="R67" s="762">
        <f t="shared" si="2"/>
        <v>2116</v>
      </c>
      <c r="S67" s="56">
        <f>'[15]Base Membership'!E70</f>
        <v>2163</v>
      </c>
      <c r="T67" s="56">
        <f t="shared" si="1"/>
        <v>-47</v>
      </c>
      <c r="U67" s="269">
        <f t="shared" si="3"/>
        <v>-0.0217</v>
      </c>
      <c r="V67" s="56">
        <f t="shared" si="4"/>
        <v>0</v>
      </c>
      <c r="W67" s="56">
        <f t="shared" si="5"/>
        <v>-47</v>
      </c>
      <c r="Y67" s="762">
        <v>999</v>
      </c>
      <c r="AA67" s="762">
        <v>272</v>
      </c>
      <c r="AB67" s="762">
        <v>122</v>
      </c>
    </row>
    <row r="68" spans="1:28" ht="12.75">
      <c r="A68" s="124">
        <v>64</v>
      </c>
      <c r="B68" s="124" t="s">
        <v>565</v>
      </c>
      <c r="C68" s="818">
        <v>0</v>
      </c>
      <c r="D68" s="418">
        <v>17</v>
      </c>
      <c r="E68" s="418">
        <v>185</v>
      </c>
      <c r="F68" s="418">
        <v>229</v>
      </c>
      <c r="G68" s="418">
        <v>179</v>
      </c>
      <c r="H68" s="418">
        <v>225</v>
      </c>
      <c r="I68" s="418">
        <v>243</v>
      </c>
      <c r="J68" s="418">
        <v>199</v>
      </c>
      <c r="K68" s="418">
        <v>194</v>
      </c>
      <c r="L68" s="418">
        <v>211</v>
      </c>
      <c r="M68" s="418">
        <v>181</v>
      </c>
      <c r="N68" s="418">
        <v>203</v>
      </c>
      <c r="O68" s="418">
        <v>146</v>
      </c>
      <c r="P68" s="418">
        <v>150</v>
      </c>
      <c r="Q68" s="418">
        <v>143</v>
      </c>
      <c r="R68" s="762">
        <f t="shared" si="2"/>
        <v>2505</v>
      </c>
      <c r="S68" s="56">
        <f>'[15]Base Membership'!E71</f>
        <v>2552</v>
      </c>
      <c r="T68" s="56">
        <f t="shared" si="1"/>
        <v>-47</v>
      </c>
      <c r="U68" s="269">
        <f t="shared" si="3"/>
        <v>-0.0184</v>
      </c>
      <c r="V68" s="56">
        <f t="shared" si="4"/>
        <v>0</v>
      </c>
      <c r="W68" s="56">
        <f t="shared" si="5"/>
        <v>-47</v>
      </c>
      <c r="Y68" s="762">
        <v>1720</v>
      </c>
      <c r="AA68" s="762">
        <v>309</v>
      </c>
      <c r="AB68" s="762">
        <v>79</v>
      </c>
    </row>
    <row r="69" spans="1:28" ht="12.75">
      <c r="A69" s="125">
        <v>65</v>
      </c>
      <c r="B69" s="125" t="s">
        <v>566</v>
      </c>
      <c r="C69" s="819">
        <v>0</v>
      </c>
      <c r="D69" s="426">
        <v>83</v>
      </c>
      <c r="E69" s="426">
        <v>760</v>
      </c>
      <c r="F69" s="426">
        <v>754</v>
      </c>
      <c r="G69" s="426">
        <v>698</v>
      </c>
      <c r="H69" s="426">
        <v>700</v>
      </c>
      <c r="I69" s="426">
        <v>675</v>
      </c>
      <c r="J69" s="426">
        <v>648</v>
      </c>
      <c r="K69" s="426">
        <v>528</v>
      </c>
      <c r="L69" s="426">
        <v>621</v>
      </c>
      <c r="M69" s="426">
        <v>714</v>
      </c>
      <c r="N69" s="426">
        <v>801</v>
      </c>
      <c r="O69" s="426">
        <v>524</v>
      </c>
      <c r="P69" s="426">
        <v>364</v>
      </c>
      <c r="Q69" s="426">
        <v>435</v>
      </c>
      <c r="R69" s="763">
        <f t="shared" si="2"/>
        <v>8305</v>
      </c>
      <c r="S69" s="57">
        <f>'[15]Base Membership'!E72</f>
        <v>8482</v>
      </c>
      <c r="T69" s="57">
        <f>+R69-S69</f>
        <v>-177</v>
      </c>
      <c r="U69" s="270">
        <f t="shared" si="3"/>
        <v>-0.0209</v>
      </c>
      <c r="V69" s="57">
        <f t="shared" si="4"/>
        <v>0</v>
      </c>
      <c r="W69" s="57">
        <f t="shared" si="5"/>
        <v>-177</v>
      </c>
      <c r="Y69" s="763">
        <v>6711</v>
      </c>
      <c r="AA69" s="763">
        <v>1252</v>
      </c>
      <c r="AB69" s="763">
        <v>533</v>
      </c>
    </row>
    <row r="70" spans="1:28" ht="12.75">
      <c r="A70" s="765">
        <v>66</v>
      </c>
      <c r="B70" s="765" t="s">
        <v>567</v>
      </c>
      <c r="C70" s="818">
        <v>0</v>
      </c>
      <c r="D70" s="418">
        <v>33</v>
      </c>
      <c r="E70" s="418">
        <v>186</v>
      </c>
      <c r="F70" s="418">
        <v>224</v>
      </c>
      <c r="G70" s="418">
        <v>186</v>
      </c>
      <c r="H70" s="418">
        <v>191</v>
      </c>
      <c r="I70" s="418">
        <v>217</v>
      </c>
      <c r="J70" s="418">
        <v>168</v>
      </c>
      <c r="K70" s="418">
        <v>156</v>
      </c>
      <c r="L70" s="418">
        <v>168</v>
      </c>
      <c r="M70" s="418">
        <v>140</v>
      </c>
      <c r="N70" s="418">
        <v>150</v>
      </c>
      <c r="O70" s="418">
        <v>119</v>
      </c>
      <c r="P70" s="418">
        <v>110</v>
      </c>
      <c r="Q70" s="418">
        <v>118</v>
      </c>
      <c r="R70" s="762">
        <f>SUM(C70:Q70)</f>
        <v>2166</v>
      </c>
      <c r="S70" s="925">
        <f>'[15]Base Membership'!E73</f>
        <v>2159</v>
      </c>
      <c r="T70" s="56">
        <f>+R70-S70</f>
        <v>7</v>
      </c>
      <c r="U70" s="269">
        <f>ROUND(T70/S70,4)</f>
        <v>0.0032</v>
      </c>
      <c r="V70" s="56">
        <f>IF(T70&gt;0,T70,0)</f>
        <v>7</v>
      </c>
      <c r="W70" s="56">
        <f>IF(T70&lt;0,T70,0)</f>
        <v>0</v>
      </c>
      <c r="Y70" s="762">
        <v>2006</v>
      </c>
      <c r="AA70" s="762">
        <v>539</v>
      </c>
      <c r="AB70" s="762">
        <v>73</v>
      </c>
    </row>
    <row r="71" spans="1:28" ht="12.75">
      <c r="A71" s="124">
        <v>67</v>
      </c>
      <c r="B71" s="124" t="s">
        <v>568</v>
      </c>
      <c r="C71" s="818">
        <v>0</v>
      </c>
      <c r="D71" s="418">
        <v>42</v>
      </c>
      <c r="E71" s="418">
        <v>394</v>
      </c>
      <c r="F71" s="418">
        <v>352</v>
      </c>
      <c r="G71" s="418">
        <v>351</v>
      </c>
      <c r="H71" s="418">
        <v>341</v>
      </c>
      <c r="I71" s="418">
        <v>367</v>
      </c>
      <c r="J71" s="418">
        <v>324</v>
      </c>
      <c r="K71" s="418">
        <v>341</v>
      </c>
      <c r="L71" s="418">
        <v>393</v>
      </c>
      <c r="M71" s="418">
        <v>354</v>
      </c>
      <c r="N71" s="418">
        <v>361</v>
      </c>
      <c r="O71" s="418">
        <v>306</v>
      </c>
      <c r="P71" s="418">
        <v>324</v>
      </c>
      <c r="Q71" s="418">
        <v>239</v>
      </c>
      <c r="R71" s="761">
        <f>SUM(C71:Q71)</f>
        <v>4489</v>
      </c>
      <c r="S71" s="212">
        <f>'[15]Base Membership'!E74</f>
        <v>4096</v>
      </c>
      <c r="T71" s="56">
        <f>+R71-S71</f>
        <v>393</v>
      </c>
      <c r="U71" s="269">
        <f>ROUND(T71/S71,4)</f>
        <v>0.0959</v>
      </c>
      <c r="V71" s="56">
        <f>IF(T71&gt;0,T71,0)</f>
        <v>393</v>
      </c>
      <c r="W71" s="56">
        <f>IF(T71&lt;0,T71,0)</f>
        <v>0</v>
      </c>
      <c r="Y71" s="761">
        <v>1735</v>
      </c>
      <c r="AA71" s="761">
        <v>479</v>
      </c>
      <c r="AB71" s="761">
        <v>269</v>
      </c>
    </row>
    <row r="72" spans="1:28" ht="12.75">
      <c r="A72" s="124">
        <v>68</v>
      </c>
      <c r="B72" s="124" t="s">
        <v>569</v>
      </c>
      <c r="C72" s="818">
        <v>0</v>
      </c>
      <c r="D72" s="418">
        <v>0</v>
      </c>
      <c r="E72" s="418">
        <v>137</v>
      </c>
      <c r="F72" s="418">
        <v>158</v>
      </c>
      <c r="G72" s="418">
        <v>177</v>
      </c>
      <c r="H72" s="418">
        <v>180</v>
      </c>
      <c r="I72" s="418">
        <v>172</v>
      </c>
      <c r="J72" s="418">
        <v>108</v>
      </c>
      <c r="K72" s="418">
        <v>123</v>
      </c>
      <c r="L72" s="418">
        <v>135</v>
      </c>
      <c r="M72" s="418">
        <v>132</v>
      </c>
      <c r="N72" s="418">
        <v>131</v>
      </c>
      <c r="O72" s="418">
        <v>136</v>
      </c>
      <c r="P72" s="418">
        <v>123</v>
      </c>
      <c r="Q72" s="418">
        <v>104</v>
      </c>
      <c r="R72" s="761">
        <f>SUM(C72:Q72)</f>
        <v>1816</v>
      </c>
      <c r="S72" s="56">
        <f>'[15]Base Membership'!E75</f>
        <v>1878</v>
      </c>
      <c r="T72" s="56">
        <f>+R72-S72</f>
        <v>-62</v>
      </c>
      <c r="U72" s="269">
        <f>ROUND(T72/S72,4)</f>
        <v>-0.033</v>
      </c>
      <c r="V72" s="56">
        <f>IF(T72&gt;0,T72,0)</f>
        <v>0</v>
      </c>
      <c r="W72" s="56">
        <f>IF(T72&lt;0,T72,0)</f>
        <v>-62</v>
      </c>
      <c r="Y72" s="761">
        <v>1540</v>
      </c>
      <c r="AA72" s="761">
        <v>238</v>
      </c>
      <c r="AB72" s="761">
        <v>5</v>
      </c>
    </row>
    <row r="73" spans="1:28" ht="12.75">
      <c r="A73" s="764">
        <v>69</v>
      </c>
      <c r="B73" s="766" t="s">
        <v>570</v>
      </c>
      <c r="C73" s="820">
        <v>0</v>
      </c>
      <c r="D73" s="820">
        <v>31</v>
      </c>
      <c r="E73" s="820">
        <v>286</v>
      </c>
      <c r="F73" s="820">
        <v>272</v>
      </c>
      <c r="G73" s="820">
        <v>241</v>
      </c>
      <c r="H73" s="820">
        <v>266</v>
      </c>
      <c r="I73" s="820">
        <v>265</v>
      </c>
      <c r="J73" s="820">
        <v>255</v>
      </c>
      <c r="K73" s="820">
        <v>223</v>
      </c>
      <c r="L73" s="820">
        <v>260</v>
      </c>
      <c r="M73" s="820">
        <v>299</v>
      </c>
      <c r="N73" s="820">
        <v>330</v>
      </c>
      <c r="O73" s="820">
        <v>321</v>
      </c>
      <c r="P73" s="820">
        <v>250</v>
      </c>
      <c r="Q73" s="820">
        <v>239</v>
      </c>
      <c r="R73" s="761">
        <f>SUM(C73:Q73)</f>
        <v>3538</v>
      </c>
      <c r="S73" s="57">
        <f>'[15]Base Membership'!E76</f>
        <v>3072</v>
      </c>
      <c r="T73" s="56">
        <f>+R73-S73</f>
        <v>466</v>
      </c>
      <c r="U73" s="269">
        <f>ROUND(T73/S73,4)</f>
        <v>0.1517</v>
      </c>
      <c r="V73" s="56">
        <f>IF(T73&gt;0,T73,0)</f>
        <v>466</v>
      </c>
      <c r="W73" s="56">
        <f>IF(T73&lt;0,T73,0)</f>
        <v>0</v>
      </c>
      <c r="Y73" s="761">
        <v>1415</v>
      </c>
      <c r="AA73" s="761">
        <v>251</v>
      </c>
      <c r="AB73" s="761">
        <v>51</v>
      </c>
    </row>
    <row r="74" spans="1:28" ht="13.5" thickBot="1">
      <c r="A74" s="918"/>
      <c r="B74" s="919" t="s">
        <v>571</v>
      </c>
      <c r="C74" s="920">
        <f>SUM(C5:C73)</f>
        <v>615</v>
      </c>
      <c r="D74" s="920">
        <f aca="true" t="shared" si="6" ref="D74:Q74">SUM(D5:D73)</f>
        <v>5848</v>
      </c>
      <c r="E74" s="920">
        <f t="shared" si="6"/>
        <v>50324</v>
      </c>
      <c r="F74" s="920">
        <f t="shared" si="6"/>
        <v>53337</v>
      </c>
      <c r="G74" s="920">
        <f t="shared" si="6"/>
        <v>51340</v>
      </c>
      <c r="H74" s="920">
        <f t="shared" si="6"/>
        <v>51579</v>
      </c>
      <c r="I74" s="920">
        <f t="shared" si="6"/>
        <v>54262</v>
      </c>
      <c r="J74" s="920">
        <f t="shared" si="6"/>
        <v>46834</v>
      </c>
      <c r="K74" s="920">
        <f t="shared" si="6"/>
        <v>45352</v>
      </c>
      <c r="L74" s="920">
        <f t="shared" si="6"/>
        <v>48936</v>
      </c>
      <c r="M74" s="920">
        <f t="shared" si="6"/>
        <v>48558</v>
      </c>
      <c r="N74" s="920">
        <f t="shared" si="6"/>
        <v>51814</v>
      </c>
      <c r="O74" s="920">
        <f t="shared" si="6"/>
        <v>41481</v>
      </c>
      <c r="P74" s="920">
        <f t="shared" si="6"/>
        <v>38401</v>
      </c>
      <c r="Q74" s="920">
        <f t="shared" si="6"/>
        <v>36103</v>
      </c>
      <c r="R74" s="921">
        <f>SUM(R5:R73)</f>
        <v>650290</v>
      </c>
      <c r="S74" s="922">
        <f>SUM(S5:S73)</f>
        <v>649819</v>
      </c>
      <c r="T74" s="923">
        <f>SUM(T5:T73)</f>
        <v>471</v>
      </c>
      <c r="U74" s="924">
        <f>ROUND(T74/S74,4)</f>
        <v>0.0007</v>
      </c>
      <c r="V74" s="923">
        <f>SUM(V5:V73)</f>
        <v>4601</v>
      </c>
      <c r="W74" s="923">
        <f>SUM(W5:W73)</f>
        <v>-4130</v>
      </c>
      <c r="Y74" s="769">
        <f>SUM(Y5:Y73)</f>
        <v>397477</v>
      </c>
      <c r="AA74" s="769">
        <f>SUM(AA5:AA73)</f>
        <v>82942</v>
      </c>
      <c r="AB74" s="769">
        <f>SUM(AB5:AB73)</f>
        <v>23977</v>
      </c>
    </row>
    <row r="75" spans="1:28" ht="6.75" customHeight="1" thickTop="1">
      <c r="A75" s="915"/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6"/>
      <c r="R75" s="917"/>
      <c r="Y75" s="772"/>
      <c r="AA75" s="772"/>
      <c r="AB75" s="772"/>
    </row>
    <row r="76" spans="1:28" ht="12.75" hidden="1">
      <c r="A76" s="470"/>
      <c r="B76" s="470" t="s">
        <v>572</v>
      </c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773">
        <v>1344</v>
      </c>
      <c r="Y76" s="773">
        <v>34</v>
      </c>
      <c r="AA76" s="773"/>
      <c r="AB76" s="773"/>
    </row>
    <row r="77" spans="1:28" ht="12.75" hidden="1">
      <c r="A77" s="774"/>
      <c r="B77" s="774" t="s">
        <v>573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5">
        <v>345</v>
      </c>
      <c r="Y77" s="775">
        <v>245</v>
      </c>
      <c r="AA77" s="775"/>
      <c r="AB77" s="775"/>
    </row>
    <row r="78" spans="1:28" ht="12.75" hidden="1">
      <c r="A78" s="470"/>
      <c r="B78" s="768" t="s">
        <v>574</v>
      </c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43">
        <f>SUM(R76:R77)</f>
        <v>1689</v>
      </c>
      <c r="Y78" s="43">
        <f>SUM(Y76:Y77)</f>
        <v>279</v>
      </c>
      <c r="AA78" s="43">
        <f>SUM(AA76:AA77)</f>
        <v>0</v>
      </c>
      <c r="AB78" s="43">
        <f>SUM(AB76:AB77)</f>
        <v>0</v>
      </c>
    </row>
    <row r="79" spans="1:28" ht="6.75" customHeight="1" hidden="1">
      <c r="A79" s="770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2"/>
      <c r="Y79" s="772"/>
      <c r="AA79" s="772"/>
      <c r="AB79" s="772"/>
    </row>
    <row r="80" spans="1:28" s="95" customFormat="1" ht="9.75" customHeight="1" hidden="1">
      <c r="A80" s="225"/>
      <c r="B80" s="913"/>
      <c r="C80" s="913"/>
      <c r="D80" s="913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216"/>
      <c r="Y80" s="216"/>
      <c r="AA80" s="216"/>
      <c r="AB80" s="216"/>
    </row>
    <row r="81" spans="1:28" s="95" customFormat="1" ht="9.75" customHeight="1" hidden="1">
      <c r="A81" s="225"/>
      <c r="B81" s="913"/>
      <c r="C81" s="913"/>
      <c r="D81" s="913"/>
      <c r="E81" s="913"/>
      <c r="F81" s="913"/>
      <c r="G81" s="913"/>
      <c r="H81" s="913"/>
      <c r="I81" s="913"/>
      <c r="J81" s="913"/>
      <c r="K81" s="913"/>
      <c r="L81" s="913"/>
      <c r="M81" s="913"/>
      <c r="N81" s="913"/>
      <c r="O81" s="913"/>
      <c r="P81" s="913"/>
      <c r="Q81" s="913"/>
      <c r="R81" s="216"/>
      <c r="Y81" s="216"/>
      <c r="AA81" s="216"/>
      <c r="AB81" s="216"/>
    </row>
    <row r="82" spans="1:28" s="95" customFormat="1" ht="42" customHeight="1" hidden="1">
      <c r="A82" s="225"/>
      <c r="B82" s="914" t="s">
        <v>45</v>
      </c>
      <c r="C82" s="913"/>
      <c r="D82" s="913"/>
      <c r="E82" s="913"/>
      <c r="F82" s="913"/>
      <c r="G82" s="913"/>
      <c r="H82" s="913"/>
      <c r="I82" s="913"/>
      <c r="J82" s="913"/>
      <c r="K82" s="913"/>
      <c r="L82" s="913"/>
      <c r="M82" s="913"/>
      <c r="N82" s="913"/>
      <c r="O82" s="913"/>
      <c r="P82" s="913"/>
      <c r="Q82" s="913"/>
      <c r="R82" s="216"/>
      <c r="Y82" s="216"/>
      <c r="AA82" s="216"/>
      <c r="AB82" s="216"/>
    </row>
    <row r="83" spans="1:28" s="95" customFormat="1" ht="9.75" customHeight="1" hidden="1">
      <c r="A83" s="225"/>
      <c r="B83" s="913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216"/>
      <c r="Y83" s="216"/>
      <c r="AA83" s="216"/>
      <c r="AB83" s="216"/>
    </row>
    <row r="84" spans="1:28" ht="16.5" customHeight="1" hidden="1">
      <c r="A84" s="811"/>
      <c r="B84" s="812" t="s">
        <v>575</v>
      </c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3">
        <f>12158-R119-R120-R121-R122</f>
        <v>11671</v>
      </c>
      <c r="S84" s="911">
        <f>'[16]Table 5B1_RSD_Orleans'!$E$8</f>
        <v>11571</v>
      </c>
      <c r="Y84" s="813">
        <v>10621</v>
      </c>
      <c r="AA84" s="813">
        <v>1578</v>
      </c>
      <c r="AB84" s="813">
        <v>293</v>
      </c>
    </row>
    <row r="85" spans="1:28" ht="6.75" customHeight="1" hidden="1">
      <c r="A85" s="770"/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2"/>
      <c r="Y85" s="772"/>
      <c r="AA85" s="772"/>
      <c r="AB85" s="772"/>
    </row>
    <row r="86" spans="1:28" s="95" customFormat="1" ht="12" customHeight="1" hidden="1">
      <c r="A86" s="165"/>
      <c r="B86" s="776" t="s">
        <v>576</v>
      </c>
      <c r="C86" s="776"/>
      <c r="D86" s="776"/>
      <c r="E86" s="776"/>
      <c r="F86" s="776"/>
      <c r="G86" s="776"/>
      <c r="H86" s="776"/>
      <c r="I86" s="776"/>
      <c r="J86" s="776"/>
      <c r="K86" s="776"/>
      <c r="L86" s="776"/>
      <c r="M86" s="776"/>
      <c r="N86" s="776"/>
      <c r="O86" s="776"/>
      <c r="P86" s="776"/>
      <c r="Q86" s="776"/>
      <c r="R86" s="777">
        <v>319</v>
      </c>
      <c r="S86" s="912">
        <f>'[16]Table 5B1_RSD_Orleans'!E11</f>
        <v>306</v>
      </c>
      <c r="Y86" s="777">
        <v>312</v>
      </c>
      <c r="AA86" s="777">
        <v>28</v>
      </c>
      <c r="AB86" s="777"/>
    </row>
    <row r="87" spans="1:28" s="95" customFormat="1" ht="12" customHeight="1" hidden="1">
      <c r="A87" s="799"/>
      <c r="B87" s="800" t="s">
        <v>185</v>
      </c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2">
        <f>602-R123</f>
        <v>350</v>
      </c>
      <c r="S87" s="95">
        <f>'[16]Table 5B1_RSD_Orleans'!E12</f>
        <v>538</v>
      </c>
      <c r="Y87" s="802" t="e">
        <f>582-#REF!</f>
        <v>#REF!</v>
      </c>
      <c r="AA87" s="802">
        <v>40</v>
      </c>
      <c r="AB87" s="802"/>
    </row>
    <row r="88" spans="1:28" s="95" customFormat="1" ht="12" customHeight="1" hidden="1">
      <c r="A88" s="124"/>
      <c r="B88" s="778" t="s">
        <v>577</v>
      </c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62">
        <v>696</v>
      </c>
      <c r="S88" s="95">
        <f>'[16]Table 5B1_RSD_Orleans'!E13</f>
        <v>650</v>
      </c>
      <c r="Y88" s="762">
        <v>682</v>
      </c>
      <c r="AA88" s="762">
        <v>45</v>
      </c>
      <c r="AB88" s="762"/>
    </row>
    <row r="89" spans="1:28" s="95" customFormat="1" ht="12" customHeight="1" hidden="1">
      <c r="A89" s="124"/>
      <c r="B89" s="778" t="s">
        <v>578</v>
      </c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  <c r="P89" s="778"/>
      <c r="Q89" s="778"/>
      <c r="R89" s="762">
        <v>558</v>
      </c>
      <c r="S89" s="95">
        <f>'[16]Table 5B1_RSD_Orleans'!E14</f>
        <v>475</v>
      </c>
      <c r="Y89" s="762">
        <v>553</v>
      </c>
      <c r="AA89" s="762">
        <v>20</v>
      </c>
      <c r="AB89" s="762"/>
    </row>
    <row r="90" spans="1:28" s="95" customFormat="1" ht="12" customHeight="1" hidden="1">
      <c r="A90" s="125"/>
      <c r="B90" s="779" t="s">
        <v>579</v>
      </c>
      <c r="C90" s="779"/>
      <c r="D90" s="779"/>
      <c r="E90" s="779"/>
      <c r="F90" s="779"/>
      <c r="G90" s="779"/>
      <c r="H90" s="779"/>
      <c r="I90" s="779"/>
      <c r="J90" s="779"/>
      <c r="K90" s="779"/>
      <c r="L90" s="779"/>
      <c r="M90" s="779"/>
      <c r="N90" s="779"/>
      <c r="O90" s="779"/>
      <c r="P90" s="779"/>
      <c r="Q90" s="779"/>
      <c r="R90" s="763">
        <v>195</v>
      </c>
      <c r="S90" s="95">
        <f>'[16]Table 5B1_RSD_Orleans'!E15</f>
        <v>194</v>
      </c>
      <c r="Y90" s="763">
        <v>191</v>
      </c>
      <c r="AA90" s="763">
        <v>11</v>
      </c>
      <c r="AB90" s="763"/>
    </row>
    <row r="91" spans="1:28" s="95" customFormat="1" ht="12" customHeight="1" hidden="1">
      <c r="A91" s="124"/>
      <c r="B91" s="778" t="s">
        <v>580</v>
      </c>
      <c r="C91" s="778"/>
      <c r="D91" s="778"/>
      <c r="E91" s="778"/>
      <c r="F91" s="778"/>
      <c r="G91" s="778"/>
      <c r="H91" s="778"/>
      <c r="I91" s="778"/>
      <c r="J91" s="778"/>
      <c r="K91" s="778"/>
      <c r="L91" s="778"/>
      <c r="M91" s="778"/>
      <c r="N91" s="778"/>
      <c r="O91" s="778"/>
      <c r="P91" s="778"/>
      <c r="Q91" s="778"/>
      <c r="R91" s="762">
        <v>339</v>
      </c>
      <c r="S91" s="95">
        <f>'[16]Table 5B1_RSD_Orleans'!E16</f>
        <v>394</v>
      </c>
      <c r="Y91" s="762">
        <v>332</v>
      </c>
      <c r="AA91" s="762">
        <v>19</v>
      </c>
      <c r="AB91" s="762"/>
    </row>
    <row r="92" spans="1:28" s="95" customFormat="1" ht="12" customHeight="1" hidden="1">
      <c r="A92" s="124"/>
      <c r="B92" s="778" t="s">
        <v>581</v>
      </c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  <c r="P92" s="778"/>
      <c r="Q92" s="778"/>
      <c r="R92" s="762">
        <v>704</v>
      </c>
      <c r="S92" s="95">
        <f>'[16]Table 5B1_RSD_Orleans'!E17</f>
        <v>659</v>
      </c>
      <c r="Y92" s="762">
        <v>644</v>
      </c>
      <c r="AA92" s="762">
        <v>78</v>
      </c>
      <c r="AB92" s="762"/>
    </row>
    <row r="93" spans="1:28" s="95" customFormat="1" ht="12" customHeight="1" hidden="1">
      <c r="A93" s="124"/>
      <c r="B93" s="778" t="s">
        <v>582</v>
      </c>
      <c r="C93" s="778"/>
      <c r="D93" s="778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778"/>
      <c r="R93" s="762">
        <v>387</v>
      </c>
      <c r="S93" s="95">
        <f>'[16]Table 5B1_RSD_Orleans'!E18</f>
        <v>422</v>
      </c>
      <c r="Y93" s="762">
        <v>367</v>
      </c>
      <c r="AA93" s="762">
        <v>31</v>
      </c>
      <c r="AB93" s="762"/>
    </row>
    <row r="94" spans="1:28" s="95" customFormat="1" ht="12" customHeight="1" hidden="1">
      <c r="A94" s="124"/>
      <c r="B94" s="778" t="s">
        <v>583</v>
      </c>
      <c r="C94" s="778"/>
      <c r="D94" s="778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62">
        <v>840</v>
      </c>
      <c r="S94" s="95">
        <f>'[16]Table 5B1_RSD_Orleans'!E19</f>
        <v>829</v>
      </c>
      <c r="Y94" s="762">
        <v>785</v>
      </c>
      <c r="AA94" s="762">
        <v>69</v>
      </c>
      <c r="AB94" s="762"/>
    </row>
    <row r="95" spans="1:28" s="95" customFormat="1" ht="12" customHeight="1" hidden="1">
      <c r="A95" s="125"/>
      <c r="B95" s="779" t="s">
        <v>584</v>
      </c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  <c r="Q95" s="779"/>
      <c r="R95" s="763">
        <v>472</v>
      </c>
      <c r="S95" s="95">
        <f>'[16]Table 5B1_RSD_Orleans'!E20</f>
        <v>374</v>
      </c>
      <c r="Y95" s="763">
        <v>448</v>
      </c>
      <c r="AA95" s="763">
        <v>53</v>
      </c>
      <c r="AB95" s="763"/>
    </row>
    <row r="96" spans="1:28" s="95" customFormat="1" ht="12" customHeight="1" hidden="1">
      <c r="A96" s="124"/>
      <c r="B96" s="778" t="s">
        <v>585</v>
      </c>
      <c r="C96" s="778"/>
      <c r="D96" s="778"/>
      <c r="E96" s="778"/>
      <c r="F96" s="778"/>
      <c r="G96" s="778"/>
      <c r="H96" s="778"/>
      <c r="I96" s="778"/>
      <c r="J96" s="778"/>
      <c r="K96" s="778"/>
      <c r="L96" s="778"/>
      <c r="M96" s="778"/>
      <c r="N96" s="778"/>
      <c r="O96" s="778"/>
      <c r="P96" s="778"/>
      <c r="Q96" s="778"/>
      <c r="R96" s="762">
        <v>395</v>
      </c>
      <c r="S96" s="95">
        <f>'[16]Table 5B1_RSD_Orleans'!E21</f>
        <v>388</v>
      </c>
      <c r="Y96" s="762">
        <v>382</v>
      </c>
      <c r="AA96" s="762">
        <v>18</v>
      </c>
      <c r="AB96" s="762"/>
    </row>
    <row r="97" spans="1:28" ht="12" customHeight="1" hidden="1">
      <c r="A97" s="124"/>
      <c r="B97" s="778" t="s">
        <v>586</v>
      </c>
      <c r="C97" s="778"/>
      <c r="D97" s="778"/>
      <c r="E97" s="778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62">
        <v>542</v>
      </c>
      <c r="S97">
        <f>'[16]Table 5B1_RSD_Orleans'!E22</f>
        <v>527</v>
      </c>
      <c r="Y97" s="762">
        <v>491</v>
      </c>
      <c r="AA97" s="762">
        <v>45</v>
      </c>
      <c r="AB97" s="762"/>
    </row>
    <row r="98" spans="1:28" ht="12" customHeight="1" hidden="1">
      <c r="A98" s="124"/>
      <c r="B98" s="778" t="s">
        <v>587</v>
      </c>
      <c r="C98" s="778"/>
      <c r="D98" s="778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62">
        <v>584</v>
      </c>
      <c r="S98">
        <f>'[16]Table 5B1_RSD_Orleans'!E23</f>
        <v>505</v>
      </c>
      <c r="Y98" s="762">
        <v>556</v>
      </c>
      <c r="AA98" s="762">
        <v>54</v>
      </c>
      <c r="AB98" s="762"/>
    </row>
    <row r="99" spans="1:28" ht="12" customHeight="1" hidden="1">
      <c r="A99" s="124"/>
      <c r="B99" s="778" t="s">
        <v>588</v>
      </c>
      <c r="C99" s="778"/>
      <c r="D99" s="778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62">
        <v>254</v>
      </c>
      <c r="S99">
        <f>'[16]Table 5B1_RSD_Orleans'!E24</f>
        <v>175</v>
      </c>
      <c r="Y99" s="762">
        <v>217</v>
      </c>
      <c r="AA99" s="762">
        <v>18</v>
      </c>
      <c r="AB99" s="762"/>
    </row>
    <row r="100" spans="1:28" ht="12" customHeight="1" hidden="1">
      <c r="A100" s="125"/>
      <c r="B100" s="779" t="s">
        <v>589</v>
      </c>
      <c r="C100" s="779"/>
      <c r="D100" s="779"/>
      <c r="E100" s="779"/>
      <c r="F100" s="779"/>
      <c r="G100" s="779"/>
      <c r="H100" s="779"/>
      <c r="I100" s="779"/>
      <c r="J100" s="779"/>
      <c r="K100" s="779"/>
      <c r="L100" s="779"/>
      <c r="M100" s="779"/>
      <c r="N100" s="779"/>
      <c r="O100" s="779"/>
      <c r="P100" s="779"/>
      <c r="Q100" s="779"/>
      <c r="R100" s="763">
        <v>322</v>
      </c>
      <c r="S100">
        <f>'[16]Table 5B1_RSD_Orleans'!E25</f>
        <v>327</v>
      </c>
      <c r="Y100" s="763">
        <v>322</v>
      </c>
      <c r="AA100" s="763">
        <v>19</v>
      </c>
      <c r="AB100" s="763"/>
    </row>
    <row r="101" spans="1:28" ht="12" customHeight="1" hidden="1">
      <c r="A101" s="124"/>
      <c r="B101" s="778" t="s">
        <v>590</v>
      </c>
      <c r="C101" s="778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62">
        <v>431</v>
      </c>
      <c r="S101">
        <f>'[16]Table 5B1_RSD_Orleans'!E26</f>
        <v>412</v>
      </c>
      <c r="Y101" s="762">
        <v>411</v>
      </c>
      <c r="AA101" s="762">
        <v>47</v>
      </c>
      <c r="AB101" s="762"/>
    </row>
    <row r="102" spans="1:28" ht="12" customHeight="1" hidden="1">
      <c r="A102" s="124"/>
      <c r="B102" s="778" t="s">
        <v>591</v>
      </c>
      <c r="C102" s="778"/>
      <c r="D102" s="778"/>
      <c r="E102" s="778"/>
      <c r="F102" s="778"/>
      <c r="G102" s="778"/>
      <c r="H102" s="778"/>
      <c r="I102" s="778"/>
      <c r="J102" s="778"/>
      <c r="K102" s="778"/>
      <c r="L102" s="778"/>
      <c r="M102" s="778"/>
      <c r="N102" s="778"/>
      <c r="O102" s="778"/>
      <c r="P102" s="778"/>
      <c r="Q102" s="778"/>
      <c r="R102" s="762">
        <v>255</v>
      </c>
      <c r="S102">
        <f>'[16]Table 5B1_RSD_Orleans'!E27</f>
        <v>171</v>
      </c>
      <c r="Y102" s="762">
        <v>225</v>
      </c>
      <c r="AA102" s="762">
        <v>22</v>
      </c>
      <c r="AB102" s="762"/>
    </row>
    <row r="103" spans="1:28" ht="12" customHeight="1" hidden="1">
      <c r="A103" s="124"/>
      <c r="B103" s="778" t="s">
        <v>592</v>
      </c>
      <c r="C103" s="778"/>
      <c r="D103" s="778"/>
      <c r="E103" s="778"/>
      <c r="F103" s="778"/>
      <c r="G103" s="778"/>
      <c r="H103" s="778"/>
      <c r="I103" s="778"/>
      <c r="J103" s="778"/>
      <c r="K103" s="778"/>
      <c r="L103" s="778"/>
      <c r="M103" s="778"/>
      <c r="N103" s="778"/>
      <c r="O103" s="778"/>
      <c r="P103" s="778"/>
      <c r="Q103" s="778"/>
      <c r="R103" s="762">
        <v>174</v>
      </c>
      <c r="S103">
        <f>'[16]Table 5B1_RSD_Orleans'!E28</f>
        <v>80</v>
      </c>
      <c r="Y103" s="762">
        <v>173</v>
      </c>
      <c r="AA103" s="762">
        <v>18</v>
      </c>
      <c r="AB103" s="762"/>
    </row>
    <row r="104" spans="1:28" ht="12" customHeight="1" hidden="1">
      <c r="A104" s="124"/>
      <c r="B104" s="778" t="s">
        <v>593</v>
      </c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8"/>
      <c r="Q104" s="778"/>
      <c r="R104" s="762">
        <v>391</v>
      </c>
      <c r="S104">
        <f>'[16]Table 5B1_RSD_Orleans'!E29</f>
        <v>325</v>
      </c>
      <c r="Y104" s="762">
        <v>382</v>
      </c>
      <c r="AA104" s="762">
        <v>26</v>
      </c>
      <c r="AB104" s="762"/>
    </row>
    <row r="105" spans="1:28" ht="12" customHeight="1" hidden="1">
      <c r="A105" s="125"/>
      <c r="B105" s="779" t="s">
        <v>173</v>
      </c>
      <c r="C105" s="779"/>
      <c r="D105" s="779"/>
      <c r="E105" s="779"/>
      <c r="F105" s="779"/>
      <c r="G105" s="779"/>
      <c r="H105" s="779"/>
      <c r="I105" s="779"/>
      <c r="J105" s="779"/>
      <c r="K105" s="779"/>
      <c r="L105" s="779"/>
      <c r="M105" s="779"/>
      <c r="N105" s="779"/>
      <c r="O105" s="779"/>
      <c r="P105" s="779"/>
      <c r="Q105" s="779"/>
      <c r="R105" s="763">
        <v>153</v>
      </c>
      <c r="S105">
        <f>'[16]Table 5B1_RSD_Orleans'!E30</f>
        <v>48</v>
      </c>
      <c r="Y105" s="763">
        <v>141</v>
      </c>
      <c r="AA105" s="763">
        <v>15</v>
      </c>
      <c r="AB105" s="763"/>
    </row>
    <row r="106" spans="1:28" ht="12" customHeight="1" hidden="1">
      <c r="A106" s="124"/>
      <c r="B106" s="778" t="s">
        <v>594</v>
      </c>
      <c r="C106" s="778"/>
      <c r="D106" s="778"/>
      <c r="E106" s="778"/>
      <c r="F106" s="778"/>
      <c r="G106" s="778"/>
      <c r="H106" s="778"/>
      <c r="I106" s="778"/>
      <c r="J106" s="778"/>
      <c r="K106" s="778"/>
      <c r="L106" s="778"/>
      <c r="M106" s="778"/>
      <c r="N106" s="778"/>
      <c r="O106" s="778"/>
      <c r="P106" s="778"/>
      <c r="Q106" s="778"/>
      <c r="R106" s="762">
        <v>472</v>
      </c>
      <c r="S106">
        <f>'[16]Table 5B1_RSD_Orleans'!E31</f>
        <v>432</v>
      </c>
      <c r="Y106" s="762">
        <v>463</v>
      </c>
      <c r="AA106" s="762">
        <v>25</v>
      </c>
      <c r="AB106" s="762"/>
    </row>
    <row r="107" spans="1:28" ht="12" customHeight="1" hidden="1">
      <c r="A107" s="124"/>
      <c r="B107" s="778" t="s">
        <v>595</v>
      </c>
      <c r="C107" s="778"/>
      <c r="D107" s="778"/>
      <c r="E107" s="778"/>
      <c r="F107" s="778"/>
      <c r="G107" s="778"/>
      <c r="H107" s="778"/>
      <c r="I107" s="778"/>
      <c r="J107" s="778"/>
      <c r="K107" s="778"/>
      <c r="L107" s="778"/>
      <c r="M107" s="778"/>
      <c r="N107" s="778"/>
      <c r="O107" s="778"/>
      <c r="P107" s="778"/>
      <c r="Q107" s="778"/>
      <c r="R107" s="762">
        <v>358</v>
      </c>
      <c r="S107">
        <f>'[16]Table 5B1_RSD_Orleans'!E32</f>
        <v>409</v>
      </c>
      <c r="Y107" s="762">
        <v>337</v>
      </c>
      <c r="AA107" s="762">
        <v>21</v>
      </c>
      <c r="AB107" s="762"/>
    </row>
    <row r="108" spans="1:28" ht="12" customHeight="1" hidden="1">
      <c r="A108" s="124"/>
      <c r="B108" s="778" t="s">
        <v>596</v>
      </c>
      <c r="C108" s="778"/>
      <c r="D108" s="778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  <c r="P108" s="778"/>
      <c r="Q108" s="778"/>
      <c r="R108" s="762">
        <v>452</v>
      </c>
      <c r="S108">
        <f>'[16]Table 5B1_RSD_Orleans'!E33</f>
        <v>106</v>
      </c>
      <c r="Y108" s="762">
        <v>428</v>
      </c>
      <c r="AA108" s="762">
        <v>20</v>
      </c>
      <c r="AB108" s="762"/>
    </row>
    <row r="109" spans="1:28" ht="12" customHeight="1" hidden="1">
      <c r="A109" s="124"/>
      <c r="B109" s="778" t="s">
        <v>597</v>
      </c>
      <c r="C109" s="778"/>
      <c r="D109" s="778"/>
      <c r="E109" s="778"/>
      <c r="F109" s="778"/>
      <c r="G109" s="778"/>
      <c r="H109" s="778"/>
      <c r="I109" s="778"/>
      <c r="J109" s="778"/>
      <c r="K109" s="778"/>
      <c r="L109" s="778"/>
      <c r="M109" s="778"/>
      <c r="N109" s="778"/>
      <c r="O109" s="778"/>
      <c r="P109" s="778"/>
      <c r="Q109" s="778"/>
      <c r="R109" s="762">
        <v>402</v>
      </c>
      <c r="S109">
        <f>'[16]Table 5B1_RSD_Orleans'!E34</f>
        <v>361</v>
      </c>
      <c r="Y109" s="762">
        <v>332</v>
      </c>
      <c r="AA109" s="762">
        <v>43</v>
      </c>
      <c r="AB109" s="762"/>
    </row>
    <row r="110" spans="1:28" ht="12" customHeight="1" hidden="1">
      <c r="A110" s="125"/>
      <c r="B110" s="779" t="s">
        <v>598</v>
      </c>
      <c r="C110" s="779"/>
      <c r="D110" s="779"/>
      <c r="E110" s="779"/>
      <c r="F110" s="779"/>
      <c r="G110" s="779"/>
      <c r="H110" s="779"/>
      <c r="I110" s="779"/>
      <c r="J110" s="779"/>
      <c r="K110" s="779"/>
      <c r="L110" s="779"/>
      <c r="M110" s="779"/>
      <c r="N110" s="779"/>
      <c r="O110" s="779"/>
      <c r="P110" s="779"/>
      <c r="Q110" s="779"/>
      <c r="R110" s="763">
        <v>159</v>
      </c>
      <c r="S110">
        <f>'[16]Table 5B1_RSD_Orleans'!E35</f>
        <v>99</v>
      </c>
      <c r="Y110" s="763">
        <v>148</v>
      </c>
      <c r="AA110" s="763">
        <v>20</v>
      </c>
      <c r="AB110" s="763"/>
    </row>
    <row r="111" spans="1:28" ht="12" customHeight="1" hidden="1">
      <c r="A111" s="124"/>
      <c r="B111" s="778" t="s">
        <v>274</v>
      </c>
      <c r="C111" s="778"/>
      <c r="D111" s="778"/>
      <c r="E111" s="778"/>
      <c r="F111" s="778"/>
      <c r="G111" s="778"/>
      <c r="H111" s="778"/>
      <c r="I111" s="778"/>
      <c r="J111" s="778"/>
      <c r="K111" s="778"/>
      <c r="L111" s="778"/>
      <c r="M111" s="778"/>
      <c r="N111" s="778"/>
      <c r="O111" s="778"/>
      <c r="P111" s="778"/>
      <c r="Q111" s="778"/>
      <c r="R111" s="762">
        <v>364</v>
      </c>
      <c r="S111">
        <f>'[16]Table 5B1_RSD_Orleans'!E36</f>
        <v>375</v>
      </c>
      <c r="Y111" s="762">
        <v>347</v>
      </c>
      <c r="AA111" s="762">
        <v>24</v>
      </c>
      <c r="AB111" s="762"/>
    </row>
    <row r="112" spans="1:28" ht="12" customHeight="1" hidden="1">
      <c r="A112" s="124"/>
      <c r="B112" s="778" t="s">
        <v>599</v>
      </c>
      <c r="C112" s="778"/>
      <c r="D112" s="778"/>
      <c r="E112" s="778"/>
      <c r="F112" s="778"/>
      <c r="G112" s="778"/>
      <c r="H112" s="778"/>
      <c r="I112" s="778"/>
      <c r="J112" s="778"/>
      <c r="K112" s="778"/>
      <c r="L112" s="778"/>
      <c r="M112" s="778"/>
      <c r="N112" s="778"/>
      <c r="O112" s="778"/>
      <c r="P112" s="778"/>
      <c r="Q112" s="778"/>
      <c r="R112" s="762">
        <v>84</v>
      </c>
      <c r="Y112" s="762">
        <v>66</v>
      </c>
      <c r="AA112" s="762">
        <v>12</v>
      </c>
      <c r="AB112" s="762"/>
    </row>
    <row r="113" spans="1:28" ht="12" customHeight="1" hidden="1">
      <c r="A113" s="124"/>
      <c r="B113" s="778" t="s">
        <v>600</v>
      </c>
      <c r="C113" s="778"/>
      <c r="D113" s="778"/>
      <c r="E113" s="778"/>
      <c r="F113" s="778"/>
      <c r="G113" s="778"/>
      <c r="H113" s="778"/>
      <c r="I113" s="778"/>
      <c r="J113" s="778"/>
      <c r="K113" s="778"/>
      <c r="L113" s="778"/>
      <c r="M113" s="778"/>
      <c r="N113" s="778"/>
      <c r="O113" s="778"/>
      <c r="P113" s="778"/>
      <c r="Q113" s="778"/>
      <c r="R113" s="762">
        <v>62</v>
      </c>
      <c r="Y113" s="762">
        <v>53</v>
      </c>
      <c r="AA113" s="762">
        <v>5</v>
      </c>
      <c r="AB113" s="762"/>
    </row>
    <row r="114" spans="1:28" ht="12" customHeight="1" hidden="1">
      <c r="A114" s="124"/>
      <c r="B114" s="780" t="s">
        <v>601</v>
      </c>
      <c r="C114" s="780"/>
      <c r="D114" s="780"/>
      <c r="E114" s="780"/>
      <c r="F114" s="780"/>
      <c r="G114" s="780"/>
      <c r="H114" s="780"/>
      <c r="I114" s="780"/>
      <c r="J114" s="780"/>
      <c r="K114" s="780"/>
      <c r="L114" s="780"/>
      <c r="M114" s="780"/>
      <c r="N114" s="780"/>
      <c r="O114" s="780"/>
      <c r="P114" s="780"/>
      <c r="Q114" s="780"/>
      <c r="R114" s="761">
        <v>119</v>
      </c>
      <c r="Y114" s="761">
        <v>110</v>
      </c>
      <c r="AA114" s="761">
        <v>9</v>
      </c>
      <c r="AB114" s="761"/>
    </row>
    <row r="115" spans="1:28" ht="12" customHeight="1" hidden="1">
      <c r="A115" s="764"/>
      <c r="B115" s="779" t="s">
        <v>602</v>
      </c>
      <c r="C115" s="779"/>
      <c r="D115" s="779"/>
      <c r="E115" s="779"/>
      <c r="F115" s="779"/>
      <c r="G115" s="779"/>
      <c r="H115" s="779"/>
      <c r="I115" s="779"/>
      <c r="J115" s="779"/>
      <c r="K115" s="779"/>
      <c r="L115" s="779"/>
      <c r="M115" s="779"/>
      <c r="N115" s="779"/>
      <c r="O115" s="779"/>
      <c r="P115" s="779"/>
      <c r="Q115" s="779"/>
      <c r="R115" s="763">
        <v>240</v>
      </c>
      <c r="Y115" s="763">
        <v>231</v>
      </c>
      <c r="AA115" s="763">
        <v>11</v>
      </c>
      <c r="AB115" s="763"/>
    </row>
    <row r="116" spans="1:28" ht="12" customHeight="1" hidden="1">
      <c r="A116" s="124"/>
      <c r="B116" s="778" t="s">
        <v>603</v>
      </c>
      <c r="C116" s="778"/>
      <c r="D116" s="778"/>
      <c r="E116" s="778"/>
      <c r="F116" s="778"/>
      <c r="G116" s="778"/>
      <c r="H116" s="778"/>
      <c r="I116" s="778"/>
      <c r="J116" s="778"/>
      <c r="K116" s="778"/>
      <c r="L116" s="778"/>
      <c r="M116" s="778"/>
      <c r="N116" s="778"/>
      <c r="O116" s="778"/>
      <c r="P116" s="778"/>
      <c r="Q116" s="778"/>
      <c r="R116" s="762">
        <v>94</v>
      </c>
      <c r="Y116" s="762">
        <v>89</v>
      </c>
      <c r="AA116" s="762">
        <v>2</v>
      </c>
      <c r="AB116" s="762"/>
    </row>
    <row r="117" spans="1:28" ht="12" customHeight="1" hidden="1">
      <c r="A117" s="124"/>
      <c r="B117" s="778" t="s">
        <v>604</v>
      </c>
      <c r="C117" s="778"/>
      <c r="D117" s="778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62">
        <v>186</v>
      </c>
      <c r="Y117" s="762">
        <v>137</v>
      </c>
      <c r="AA117" s="762">
        <v>12</v>
      </c>
      <c r="AB117" s="762"/>
    </row>
    <row r="118" spans="1:28" ht="12" customHeight="1" hidden="1">
      <c r="A118" s="124"/>
      <c r="B118" s="778" t="s">
        <v>605</v>
      </c>
      <c r="C118" s="778"/>
      <c r="D118" s="778"/>
      <c r="E118" s="778"/>
      <c r="F118" s="778"/>
      <c r="G118" s="778"/>
      <c r="H118" s="778"/>
      <c r="I118" s="778"/>
      <c r="J118" s="778"/>
      <c r="K118" s="778"/>
      <c r="L118" s="778"/>
      <c r="M118" s="778"/>
      <c r="N118" s="778"/>
      <c r="O118" s="778"/>
      <c r="P118" s="778"/>
      <c r="Q118" s="778"/>
      <c r="R118" s="762">
        <v>103</v>
      </c>
      <c r="Y118" s="762">
        <v>97</v>
      </c>
      <c r="AA118" s="762">
        <v>12</v>
      </c>
      <c r="AB118" s="762"/>
    </row>
    <row r="119" spans="1:28" ht="12" customHeight="1" hidden="1">
      <c r="A119" s="803"/>
      <c r="B119" s="804" t="s">
        <v>186</v>
      </c>
      <c r="C119" s="804"/>
      <c r="D119" s="804"/>
      <c r="E119" s="804"/>
      <c r="F119" s="804"/>
      <c r="G119" s="804"/>
      <c r="H119" s="804"/>
      <c r="I119" s="804"/>
      <c r="J119" s="804"/>
      <c r="K119" s="804"/>
      <c r="L119" s="804"/>
      <c r="M119" s="804"/>
      <c r="N119" s="804"/>
      <c r="O119" s="804"/>
      <c r="P119" s="804"/>
      <c r="Q119" s="804"/>
      <c r="R119" s="806">
        <v>80</v>
      </c>
      <c r="Y119" s="805" t="s">
        <v>293</v>
      </c>
      <c r="AA119" s="805" t="s">
        <v>293</v>
      </c>
      <c r="AB119" s="805" t="s">
        <v>293</v>
      </c>
    </row>
    <row r="120" spans="1:28" ht="12" customHeight="1" hidden="1">
      <c r="A120" s="799"/>
      <c r="B120" s="800" t="s">
        <v>187</v>
      </c>
      <c r="C120" s="800"/>
      <c r="D120" s="800"/>
      <c r="E120" s="800"/>
      <c r="F120" s="800"/>
      <c r="G120" s="800"/>
      <c r="H120" s="800"/>
      <c r="I120" s="800"/>
      <c r="J120" s="800"/>
      <c r="K120" s="800"/>
      <c r="L120" s="800"/>
      <c r="M120" s="800"/>
      <c r="N120" s="800"/>
      <c r="O120" s="800"/>
      <c r="P120" s="800"/>
      <c r="Q120" s="800"/>
      <c r="R120" s="802">
        <v>96</v>
      </c>
      <c r="Y120" s="801" t="s">
        <v>293</v>
      </c>
      <c r="AA120" s="801" t="s">
        <v>293</v>
      </c>
      <c r="AB120" s="801" t="s">
        <v>293</v>
      </c>
    </row>
    <row r="121" spans="1:28" ht="12" customHeight="1" hidden="1">
      <c r="A121" s="799"/>
      <c r="B121" s="800" t="s">
        <v>188</v>
      </c>
      <c r="C121" s="800"/>
      <c r="D121" s="800"/>
      <c r="E121" s="800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2">
        <v>211</v>
      </c>
      <c r="Y121" s="801" t="s">
        <v>293</v>
      </c>
      <c r="AA121" s="801" t="s">
        <v>293</v>
      </c>
      <c r="AB121" s="801" t="s">
        <v>293</v>
      </c>
    </row>
    <row r="122" spans="1:28" ht="12" customHeight="1" hidden="1">
      <c r="A122" s="799"/>
      <c r="B122" s="800" t="s">
        <v>189</v>
      </c>
      <c r="C122" s="800"/>
      <c r="D122" s="800"/>
      <c r="E122" s="800"/>
      <c r="F122" s="800"/>
      <c r="G122" s="800"/>
      <c r="H122" s="800"/>
      <c r="I122" s="800"/>
      <c r="J122" s="800"/>
      <c r="K122" s="800"/>
      <c r="L122" s="800"/>
      <c r="M122" s="800"/>
      <c r="N122" s="800"/>
      <c r="O122" s="800"/>
      <c r="P122" s="800"/>
      <c r="Q122" s="800"/>
      <c r="R122" s="802">
        <v>100</v>
      </c>
      <c r="Y122" s="801" t="s">
        <v>293</v>
      </c>
      <c r="AA122" s="801" t="s">
        <v>293</v>
      </c>
      <c r="AB122" s="801" t="s">
        <v>293</v>
      </c>
    </row>
    <row r="123" spans="1:28" ht="12" customHeight="1" hidden="1">
      <c r="A123" s="799"/>
      <c r="B123" s="800" t="s">
        <v>184</v>
      </c>
      <c r="C123" s="800"/>
      <c r="D123" s="800"/>
      <c r="E123" s="800"/>
      <c r="F123" s="800"/>
      <c r="G123" s="800"/>
      <c r="H123" s="800"/>
      <c r="I123" s="800"/>
      <c r="J123" s="800"/>
      <c r="K123" s="800"/>
      <c r="L123" s="800"/>
      <c r="M123" s="800"/>
      <c r="N123" s="800"/>
      <c r="O123" s="800"/>
      <c r="P123" s="800"/>
      <c r="Q123" s="800"/>
      <c r="R123" s="802">
        <v>252</v>
      </c>
      <c r="Y123" s="761"/>
      <c r="AA123" s="761"/>
      <c r="AB123" s="761"/>
    </row>
    <row r="124" spans="1:28" ht="12" customHeight="1" hidden="1">
      <c r="A124" s="764"/>
      <c r="B124" s="779"/>
      <c r="C124" s="779"/>
      <c r="D124" s="779"/>
      <c r="E124" s="779"/>
      <c r="F124" s="779"/>
      <c r="G124" s="779"/>
      <c r="H124" s="779"/>
      <c r="I124" s="779"/>
      <c r="J124" s="779"/>
      <c r="K124" s="779"/>
      <c r="L124" s="779"/>
      <c r="M124" s="779"/>
      <c r="N124" s="779"/>
      <c r="O124" s="779"/>
      <c r="P124" s="779"/>
      <c r="Q124" s="779"/>
      <c r="R124" s="763"/>
      <c r="Y124" s="763"/>
      <c r="AA124" s="763"/>
      <c r="AB124" s="763"/>
    </row>
    <row r="125" spans="1:28" ht="12.75" hidden="1">
      <c r="A125" s="767"/>
      <c r="B125" s="768" t="s">
        <v>606</v>
      </c>
      <c r="C125" s="814"/>
      <c r="D125" s="814"/>
      <c r="E125" s="814"/>
      <c r="F125" s="814"/>
      <c r="G125" s="814"/>
      <c r="H125" s="814"/>
      <c r="I125" s="814"/>
      <c r="J125" s="814"/>
      <c r="K125" s="814"/>
      <c r="L125" s="814"/>
      <c r="M125" s="814"/>
      <c r="N125" s="814"/>
      <c r="O125" s="814"/>
      <c r="P125" s="814"/>
      <c r="Q125" s="814"/>
      <c r="R125" s="16">
        <f>SUM(R84:R124)</f>
        <v>23866</v>
      </c>
      <c r="Y125" s="16" t="e">
        <f>SUM(Y84:Y124)</f>
        <v>#REF!</v>
      </c>
      <c r="AA125" s="16">
        <f>SUM(AA84:AA124)</f>
        <v>2470</v>
      </c>
      <c r="AB125" s="16">
        <f>SUM(AB84:AB124)</f>
        <v>293</v>
      </c>
    </row>
    <row r="126" spans="1:28" ht="6.75" customHeight="1" hidden="1">
      <c r="A126" s="770"/>
      <c r="B126" s="771"/>
      <c r="C126" s="771"/>
      <c r="D126" s="771"/>
      <c r="E126" s="771"/>
      <c r="F126" s="771"/>
      <c r="G126" s="771"/>
      <c r="H126" s="771"/>
      <c r="I126" s="771"/>
      <c r="J126" s="771"/>
      <c r="K126" s="771"/>
      <c r="L126" s="771"/>
      <c r="M126" s="771"/>
      <c r="N126" s="771"/>
      <c r="O126" s="771"/>
      <c r="P126" s="771"/>
      <c r="Q126" s="771"/>
      <c r="R126" s="772"/>
      <c r="Y126" s="772"/>
      <c r="AA126" s="772"/>
      <c r="AB126" s="772"/>
    </row>
    <row r="127" spans="1:28" ht="12" customHeight="1" hidden="1">
      <c r="A127" s="124"/>
      <c r="B127" s="778" t="s">
        <v>179</v>
      </c>
      <c r="C127" s="778"/>
      <c r="D127" s="778"/>
      <c r="E127" s="778"/>
      <c r="F127" s="778"/>
      <c r="G127" s="778"/>
      <c r="H127" s="778"/>
      <c r="I127" s="778"/>
      <c r="J127" s="778"/>
      <c r="K127" s="778"/>
      <c r="L127" s="778"/>
      <c r="M127" s="778"/>
      <c r="N127" s="778"/>
      <c r="O127" s="778"/>
      <c r="P127" s="778"/>
      <c r="Q127" s="778"/>
      <c r="R127" s="762">
        <v>425</v>
      </c>
      <c r="Y127" s="762">
        <v>412</v>
      </c>
      <c r="AA127" s="762">
        <v>80</v>
      </c>
      <c r="AB127" s="762"/>
    </row>
    <row r="128" spans="1:28" ht="12" customHeight="1" hidden="1">
      <c r="A128" s="124"/>
      <c r="B128" s="778" t="s">
        <v>180</v>
      </c>
      <c r="C128" s="778"/>
      <c r="D128" s="778"/>
      <c r="E128" s="778"/>
      <c r="F128" s="778"/>
      <c r="G128" s="778"/>
      <c r="H128" s="778"/>
      <c r="I128" s="778"/>
      <c r="J128" s="778"/>
      <c r="K128" s="778"/>
      <c r="L128" s="778"/>
      <c r="M128" s="778"/>
      <c r="N128" s="778"/>
      <c r="O128" s="778"/>
      <c r="P128" s="778"/>
      <c r="Q128" s="778"/>
      <c r="R128" s="762">
        <v>421</v>
      </c>
      <c r="Y128" s="762">
        <v>415</v>
      </c>
      <c r="AA128" s="762">
        <v>88</v>
      </c>
      <c r="AB128" s="762"/>
    </row>
    <row r="129" spans="1:28" ht="12" customHeight="1" hidden="1">
      <c r="A129" s="124"/>
      <c r="B129" s="778" t="s">
        <v>182</v>
      </c>
      <c r="C129" s="778"/>
      <c r="D129" s="778"/>
      <c r="E129" s="778"/>
      <c r="F129" s="778"/>
      <c r="G129" s="778"/>
      <c r="H129" s="778"/>
      <c r="I129" s="778"/>
      <c r="J129" s="778"/>
      <c r="K129" s="778"/>
      <c r="L129" s="778"/>
      <c r="M129" s="778"/>
      <c r="N129" s="778"/>
      <c r="O129" s="778"/>
      <c r="P129" s="778"/>
      <c r="Q129" s="778"/>
      <c r="R129" s="762">
        <v>198</v>
      </c>
      <c r="Y129" s="762">
        <v>172</v>
      </c>
      <c r="AA129" s="762">
        <v>28</v>
      </c>
      <c r="AB129" s="762"/>
    </row>
    <row r="130" spans="1:28" ht="12" customHeight="1" hidden="1">
      <c r="A130" s="124"/>
      <c r="B130" s="780" t="s">
        <v>183</v>
      </c>
      <c r="C130" s="780"/>
      <c r="D130" s="780"/>
      <c r="E130" s="780"/>
      <c r="F130" s="780"/>
      <c r="G130" s="780"/>
      <c r="H130" s="780"/>
      <c r="I130" s="780"/>
      <c r="J130" s="780"/>
      <c r="K130" s="780"/>
      <c r="L130" s="780"/>
      <c r="M130" s="780"/>
      <c r="N130" s="780"/>
      <c r="O130" s="780"/>
      <c r="P130" s="780"/>
      <c r="Q130" s="780"/>
      <c r="R130" s="761">
        <v>191</v>
      </c>
      <c r="Y130" s="761">
        <v>169</v>
      </c>
      <c r="AA130" s="761">
        <v>16</v>
      </c>
      <c r="AB130" s="761"/>
    </row>
    <row r="131" spans="1:28" ht="12" customHeight="1" hidden="1">
      <c r="A131" s="803"/>
      <c r="B131" s="804" t="s">
        <v>190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6">
        <v>279</v>
      </c>
      <c r="Y131" s="805" t="s">
        <v>293</v>
      </c>
      <c r="AA131" s="805" t="s">
        <v>293</v>
      </c>
      <c r="AB131" s="805" t="s">
        <v>293</v>
      </c>
    </row>
    <row r="132" spans="1:28" ht="12" customHeight="1" hidden="1">
      <c r="A132" s="799"/>
      <c r="B132" s="800" t="s">
        <v>191</v>
      </c>
      <c r="C132" s="800"/>
      <c r="D132" s="800"/>
      <c r="E132" s="800"/>
      <c r="F132" s="800"/>
      <c r="G132" s="800"/>
      <c r="H132" s="800"/>
      <c r="I132" s="800"/>
      <c r="J132" s="800"/>
      <c r="K132" s="800"/>
      <c r="L132" s="800"/>
      <c r="M132" s="800"/>
      <c r="N132" s="800"/>
      <c r="O132" s="800"/>
      <c r="P132" s="800"/>
      <c r="Q132" s="800"/>
      <c r="R132" s="802">
        <v>603</v>
      </c>
      <c r="Y132" s="801" t="s">
        <v>293</v>
      </c>
      <c r="AA132" s="801" t="s">
        <v>293</v>
      </c>
      <c r="AB132" s="801" t="s">
        <v>293</v>
      </c>
    </row>
    <row r="133" spans="1:28" ht="12" customHeight="1" hidden="1">
      <c r="A133" s="799"/>
      <c r="B133" s="800" t="s">
        <v>192</v>
      </c>
      <c r="C133" s="800"/>
      <c r="D133" s="800"/>
      <c r="E133" s="800"/>
      <c r="F133" s="800"/>
      <c r="G133" s="800"/>
      <c r="H133" s="800"/>
      <c r="I133" s="800"/>
      <c r="J133" s="800"/>
      <c r="K133" s="800"/>
      <c r="L133" s="800"/>
      <c r="M133" s="800"/>
      <c r="N133" s="800"/>
      <c r="O133" s="800"/>
      <c r="P133" s="800"/>
      <c r="Q133" s="800"/>
      <c r="R133" s="802">
        <v>364</v>
      </c>
      <c r="Y133" s="801" t="s">
        <v>293</v>
      </c>
      <c r="AA133" s="801" t="s">
        <v>293</v>
      </c>
      <c r="AB133" s="801" t="s">
        <v>293</v>
      </c>
    </row>
    <row r="134" spans="1:28" ht="12" customHeight="1" hidden="1">
      <c r="A134" s="799"/>
      <c r="B134" s="800" t="s">
        <v>193</v>
      </c>
      <c r="C134" s="800"/>
      <c r="D134" s="800"/>
      <c r="E134" s="800"/>
      <c r="F134" s="800"/>
      <c r="G134" s="800"/>
      <c r="H134" s="800"/>
      <c r="I134" s="800"/>
      <c r="J134" s="800"/>
      <c r="K134" s="800"/>
      <c r="L134" s="800"/>
      <c r="M134" s="800"/>
      <c r="N134" s="800"/>
      <c r="O134" s="800"/>
      <c r="P134" s="800"/>
      <c r="Q134" s="800"/>
      <c r="R134" s="802">
        <v>284</v>
      </c>
      <c r="Y134" s="801" t="s">
        <v>293</v>
      </c>
      <c r="AA134" s="801" t="s">
        <v>293</v>
      </c>
      <c r="AB134" s="801" t="s">
        <v>293</v>
      </c>
    </row>
    <row r="135" spans="1:28" ht="12" customHeight="1" hidden="1">
      <c r="A135" s="799"/>
      <c r="B135" s="800" t="s">
        <v>194</v>
      </c>
      <c r="C135" s="800"/>
      <c r="D135" s="800"/>
      <c r="E135" s="800"/>
      <c r="F135" s="800"/>
      <c r="G135" s="800"/>
      <c r="H135" s="800"/>
      <c r="I135" s="800"/>
      <c r="J135" s="800"/>
      <c r="K135" s="800"/>
      <c r="L135" s="800"/>
      <c r="M135" s="800"/>
      <c r="N135" s="800"/>
      <c r="O135" s="800"/>
      <c r="P135" s="800"/>
      <c r="Q135" s="800"/>
      <c r="R135" s="802">
        <v>394</v>
      </c>
      <c r="Y135" s="801" t="s">
        <v>293</v>
      </c>
      <c r="AA135" s="801" t="s">
        <v>293</v>
      </c>
      <c r="AB135" s="801" t="s">
        <v>293</v>
      </c>
    </row>
    <row r="136" spans="1:28" ht="12" customHeight="1" hidden="1">
      <c r="A136" s="803"/>
      <c r="B136" s="804" t="s">
        <v>195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6">
        <v>688</v>
      </c>
      <c r="Y136" s="805" t="s">
        <v>293</v>
      </c>
      <c r="AA136" s="805" t="s">
        <v>293</v>
      </c>
      <c r="AB136" s="805" t="s">
        <v>293</v>
      </c>
    </row>
    <row r="137" spans="1:28" ht="12" customHeight="1" hidden="1">
      <c r="A137" s="799"/>
      <c r="B137" s="800" t="s">
        <v>196</v>
      </c>
      <c r="C137" s="800"/>
      <c r="D137" s="800"/>
      <c r="E137" s="800"/>
      <c r="F137" s="800"/>
      <c r="G137" s="800"/>
      <c r="H137" s="800"/>
      <c r="I137" s="800"/>
      <c r="J137" s="800"/>
      <c r="K137" s="800"/>
      <c r="L137" s="800"/>
      <c r="M137" s="800"/>
      <c r="N137" s="800"/>
      <c r="O137" s="800"/>
      <c r="P137" s="800"/>
      <c r="Q137" s="800"/>
      <c r="R137" s="802">
        <v>536</v>
      </c>
      <c r="Y137" s="801" t="s">
        <v>293</v>
      </c>
      <c r="AA137" s="801" t="s">
        <v>293</v>
      </c>
      <c r="AB137" s="801" t="s">
        <v>293</v>
      </c>
    </row>
    <row r="138" spans="1:28" ht="12" customHeight="1" hidden="1">
      <c r="A138" s="803"/>
      <c r="B138" s="804" t="s">
        <v>197</v>
      </c>
      <c r="C138" s="804"/>
      <c r="D138" s="804"/>
      <c r="E138" s="804"/>
      <c r="F138" s="804"/>
      <c r="G138" s="804"/>
      <c r="H138" s="804"/>
      <c r="I138" s="804"/>
      <c r="J138" s="804"/>
      <c r="K138" s="804"/>
      <c r="L138" s="804"/>
      <c r="M138" s="804"/>
      <c r="N138" s="804"/>
      <c r="O138" s="804"/>
      <c r="P138" s="804"/>
      <c r="Q138" s="804"/>
      <c r="R138" s="806">
        <v>613</v>
      </c>
      <c r="Y138" s="805" t="s">
        <v>293</v>
      </c>
      <c r="AA138" s="805" t="s">
        <v>293</v>
      </c>
      <c r="AB138" s="805" t="s">
        <v>293</v>
      </c>
    </row>
    <row r="139" spans="1:28" ht="12.75" hidden="1">
      <c r="A139" s="767"/>
      <c r="B139" s="768" t="s">
        <v>607</v>
      </c>
      <c r="C139" s="814"/>
      <c r="D139" s="814"/>
      <c r="E139" s="814"/>
      <c r="F139" s="814"/>
      <c r="G139" s="814"/>
      <c r="H139" s="814"/>
      <c r="I139" s="814"/>
      <c r="J139" s="814"/>
      <c r="K139" s="814"/>
      <c r="L139" s="814"/>
      <c r="M139" s="814"/>
      <c r="N139" s="814"/>
      <c r="O139" s="814"/>
      <c r="P139" s="814"/>
      <c r="Q139" s="814"/>
      <c r="R139" s="16">
        <f>SUM(R127:R138)</f>
        <v>4996</v>
      </c>
      <c r="Y139" s="16">
        <f>SUM(Y127:Y138)</f>
        <v>1168</v>
      </c>
      <c r="AA139" s="16">
        <f>SUM(AA127:AA138)</f>
        <v>212</v>
      </c>
      <c r="AB139" s="16">
        <f>SUM(AB127:AB138)</f>
        <v>0</v>
      </c>
    </row>
    <row r="140" spans="1:28" ht="6.75" customHeight="1" hidden="1">
      <c r="A140" s="770"/>
      <c r="B140" s="771"/>
      <c r="C140" s="771"/>
      <c r="D140" s="771"/>
      <c r="E140" s="771"/>
      <c r="F140" s="771"/>
      <c r="G140" s="771"/>
      <c r="H140" s="771"/>
      <c r="I140" s="771"/>
      <c r="J140" s="771"/>
      <c r="K140" s="771"/>
      <c r="L140" s="771"/>
      <c r="M140" s="771"/>
      <c r="N140" s="771"/>
      <c r="O140" s="771"/>
      <c r="P140" s="771"/>
      <c r="Q140" s="771"/>
      <c r="R140" s="772"/>
      <c r="Y140" s="772"/>
      <c r="AA140" s="772"/>
      <c r="AB140" s="772"/>
    </row>
    <row r="141" spans="1:28" ht="12" customHeight="1" hidden="1">
      <c r="A141" s="781"/>
      <c r="B141" s="782" t="s">
        <v>181</v>
      </c>
      <c r="C141" s="782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2"/>
      <c r="O141" s="782"/>
      <c r="P141" s="782"/>
      <c r="Q141" s="782"/>
      <c r="R141" s="783">
        <v>405</v>
      </c>
      <c r="Y141" s="783">
        <v>289</v>
      </c>
      <c r="AA141" s="783">
        <v>82</v>
      </c>
      <c r="AB141" s="783"/>
    </row>
    <row r="142" spans="1:28" ht="12.75" hidden="1">
      <c r="A142" s="767"/>
      <c r="B142" s="768" t="s">
        <v>608</v>
      </c>
      <c r="C142" s="814"/>
      <c r="D142" s="814"/>
      <c r="E142" s="814"/>
      <c r="F142" s="814"/>
      <c r="G142" s="814"/>
      <c r="H142" s="814"/>
      <c r="I142" s="814"/>
      <c r="J142" s="814"/>
      <c r="K142" s="814"/>
      <c r="L142" s="814"/>
      <c r="M142" s="814"/>
      <c r="N142" s="814"/>
      <c r="O142" s="814"/>
      <c r="P142" s="814"/>
      <c r="Q142" s="814"/>
      <c r="R142" s="16">
        <f>SUM(R141)</f>
        <v>405</v>
      </c>
      <c r="Y142" s="16">
        <f>SUM(Y141)</f>
        <v>289</v>
      </c>
      <c r="AA142" s="16">
        <f>SUM(AA141)</f>
        <v>82</v>
      </c>
      <c r="AB142" s="16">
        <f>SUM(AB141)</f>
        <v>0</v>
      </c>
    </row>
    <row r="143" spans="1:28" ht="6.75" customHeight="1" hidden="1">
      <c r="A143" s="770"/>
      <c r="B143" s="771"/>
      <c r="C143" s="771"/>
      <c r="D143" s="771"/>
      <c r="E143" s="771"/>
      <c r="F143" s="771"/>
      <c r="G143" s="771"/>
      <c r="H143" s="771"/>
      <c r="I143" s="771"/>
      <c r="J143" s="771"/>
      <c r="K143" s="771"/>
      <c r="L143" s="771"/>
      <c r="M143" s="771"/>
      <c r="N143" s="771"/>
      <c r="O143" s="771"/>
      <c r="P143" s="771"/>
      <c r="Q143" s="771"/>
      <c r="R143" s="772"/>
      <c r="Y143" s="772"/>
      <c r="AA143" s="772"/>
      <c r="AB143" s="772"/>
    </row>
    <row r="144" spans="1:28" ht="12" customHeight="1" hidden="1">
      <c r="A144" s="807"/>
      <c r="B144" s="808" t="s">
        <v>198</v>
      </c>
      <c r="C144" s="808"/>
      <c r="D144" s="808"/>
      <c r="E144" s="808"/>
      <c r="F144" s="808"/>
      <c r="G144" s="808"/>
      <c r="H144" s="808"/>
      <c r="I144" s="808"/>
      <c r="J144" s="808"/>
      <c r="K144" s="808"/>
      <c r="L144" s="808"/>
      <c r="M144" s="808"/>
      <c r="N144" s="808"/>
      <c r="O144" s="808"/>
      <c r="P144" s="808"/>
      <c r="Q144" s="808"/>
      <c r="R144" s="810">
        <v>443</v>
      </c>
      <c r="Y144" s="809" t="s">
        <v>293</v>
      </c>
      <c r="AA144" s="809" t="s">
        <v>293</v>
      </c>
      <c r="AB144" s="809" t="s">
        <v>293</v>
      </c>
    </row>
    <row r="145" spans="1:28" ht="12" customHeight="1" hidden="1">
      <c r="A145" s="803"/>
      <c r="B145" s="804" t="s">
        <v>199</v>
      </c>
      <c r="C145" s="804"/>
      <c r="D145" s="804"/>
      <c r="E145" s="804"/>
      <c r="F145" s="804"/>
      <c r="G145" s="804"/>
      <c r="H145" s="804"/>
      <c r="I145" s="804"/>
      <c r="J145" s="804"/>
      <c r="K145" s="804"/>
      <c r="L145" s="804"/>
      <c r="M145" s="804"/>
      <c r="N145" s="804"/>
      <c r="O145" s="804"/>
      <c r="P145" s="804"/>
      <c r="Q145" s="804"/>
      <c r="R145" s="806">
        <v>696</v>
      </c>
      <c r="Y145" s="805" t="s">
        <v>293</v>
      </c>
      <c r="AA145" s="805" t="s">
        <v>293</v>
      </c>
      <c r="AB145" s="805" t="s">
        <v>293</v>
      </c>
    </row>
    <row r="146" spans="1:28" ht="12.75" hidden="1">
      <c r="A146" s="767"/>
      <c r="B146" s="768" t="s">
        <v>174</v>
      </c>
      <c r="C146" s="814"/>
      <c r="D146" s="814"/>
      <c r="E146" s="814"/>
      <c r="F146" s="814"/>
      <c r="G146" s="814"/>
      <c r="H146" s="814"/>
      <c r="I146" s="814"/>
      <c r="J146" s="814"/>
      <c r="K146" s="814"/>
      <c r="L146" s="814"/>
      <c r="M146" s="814"/>
      <c r="N146" s="814"/>
      <c r="O146" s="814"/>
      <c r="P146" s="814"/>
      <c r="Q146" s="814"/>
      <c r="R146" s="16">
        <f>SUM(R144:R145)</f>
        <v>1139</v>
      </c>
      <c r="Y146" s="16">
        <f>SUM(Y144:Y145)</f>
        <v>0</v>
      </c>
      <c r="AA146" s="16">
        <f>SUM(AA144:AA145)</f>
        <v>0</v>
      </c>
      <c r="AB146" s="16">
        <f>SUM(AB144:AB145)</f>
        <v>0</v>
      </c>
    </row>
    <row r="147" ht="12.75" hidden="1"/>
    <row r="148" ht="12.75" hidden="1"/>
    <row r="149" ht="12.75" hidden="1"/>
    <row r="150" spans="1:18" s="95" customFormat="1" ht="12.75" hidden="1">
      <c r="A150" s="95" t="s">
        <v>609</v>
      </c>
      <c r="R150" s="132"/>
    </row>
    <row r="151" spans="1:25" s="95" customFormat="1" ht="61.5" customHeight="1" hidden="1">
      <c r="A151" s="1451" t="s">
        <v>44</v>
      </c>
      <c r="B151" s="1452"/>
      <c r="C151" s="1452"/>
      <c r="D151" s="1452"/>
      <c r="E151" s="1452"/>
      <c r="F151" s="1452"/>
      <c r="G151" s="1452"/>
      <c r="H151" s="1452"/>
      <c r="I151" s="1452"/>
      <c r="J151" s="1452"/>
      <c r="K151" s="1452"/>
      <c r="L151" s="1452"/>
      <c r="M151" s="1452"/>
      <c r="N151" s="1452"/>
      <c r="O151" s="1452"/>
      <c r="P151" s="1452"/>
      <c r="Q151" s="1452"/>
      <c r="R151" s="1452"/>
      <c r="S151" s="1452"/>
      <c r="T151" s="1452"/>
      <c r="U151" s="1452"/>
      <c r="V151" s="1452"/>
      <c r="W151" s="1452"/>
      <c r="X151" s="910"/>
      <c r="Y151" s="910"/>
    </row>
    <row r="152" ht="18.75" customHeight="1" hidden="1"/>
    <row r="153" ht="12.75" hidden="1"/>
    <row r="154" spans="2:17" ht="12.75">
      <c r="B154" s="784"/>
      <c r="C154" s="784"/>
      <c r="D154" s="784"/>
      <c r="E154" s="784"/>
      <c r="F154" s="784"/>
      <c r="G154" s="784"/>
      <c r="H154" s="784"/>
      <c r="I154" s="784"/>
      <c r="J154" s="784"/>
      <c r="K154" s="784"/>
      <c r="L154" s="784"/>
      <c r="M154" s="784"/>
      <c r="N154" s="784"/>
      <c r="O154" s="784"/>
      <c r="P154" s="784"/>
      <c r="Q154" s="784"/>
    </row>
  </sheetData>
  <sheetProtection sheet="1"/>
  <mergeCells count="13">
    <mergeCell ref="U2:U3"/>
    <mergeCell ref="V2:V3"/>
    <mergeCell ref="W2:W3"/>
    <mergeCell ref="A151:W151"/>
    <mergeCell ref="AA2:AA3"/>
    <mergeCell ref="A2:A3"/>
    <mergeCell ref="B2:B3"/>
    <mergeCell ref="AB2:AB3"/>
    <mergeCell ref="C2:Q2"/>
    <mergeCell ref="R2:R3"/>
    <mergeCell ref="Y2:Y3"/>
    <mergeCell ref="S2:S3"/>
    <mergeCell ref="T2:T3"/>
  </mergeCells>
  <printOptions horizontalCentered="1"/>
  <pageMargins left="0.25" right="0.25" top="1.26" bottom="0.43" header="0.4" footer="0.23"/>
  <pageSetup firstPageNumber="35" useFirstPageNumber="1" fitToHeight="2" horizontalDpi="600" verticalDpi="600" orientation="portrait" paperSize="5" scale="85" r:id="rId1"/>
  <headerFooter alignWithMargins="0">
    <oddHeader>&amp;L&amp;"Arial,Bold"&amp;22Table 8:  FY 2009-2010 Budget Letter&amp;26
&amp;18February 1, 2009 Student Membership</oddHeader>
    <oddFooter>&amp;R&amp;P</oddFooter>
  </headerFooter>
  <rowBreaks count="1" manualBreakCount="1">
    <brk id="74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78"/>
  <sheetViews>
    <sheetView zoomScale="80" zoomScaleNormal="80" zoomScaleSheetLayoutView="75" zoomScalePageLayoutView="0" workbookViewId="0" topLeftCell="A1">
      <pane xSplit="2" ySplit="4" topLeftCell="C6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Y1" sqref="Y1:Z16384"/>
    </sheetView>
  </sheetViews>
  <sheetFormatPr defaultColWidth="9.140625" defaultRowHeight="12.75"/>
  <cols>
    <col min="1" max="1" width="4.8515625" style="2" customWidth="1"/>
    <col min="2" max="2" width="18.7109375" style="0" bestFit="1" customWidth="1"/>
    <col min="3" max="3" width="20.140625" style="0" customWidth="1"/>
    <col min="4" max="4" width="14.421875" style="0" customWidth="1"/>
    <col min="5" max="5" width="8.57421875" style="0" customWidth="1"/>
    <col min="6" max="6" width="20.421875" style="0" customWidth="1"/>
    <col min="7" max="7" width="10.00390625" style="0" customWidth="1"/>
    <col min="8" max="8" width="17.7109375" style="0" customWidth="1"/>
    <col min="9" max="9" width="18.00390625" style="0" customWidth="1"/>
    <col min="10" max="10" width="9.421875" style="0" bestFit="1" customWidth="1"/>
    <col min="11" max="11" width="15.140625" style="0" customWidth="1"/>
    <col min="12" max="12" width="9.421875" style="0" bestFit="1" customWidth="1"/>
    <col min="13" max="13" width="15.140625" style="0" customWidth="1"/>
    <col min="14" max="14" width="15.8515625" style="0" customWidth="1"/>
    <col min="15" max="15" width="5.00390625" style="0" customWidth="1"/>
    <col min="16" max="16" width="14.57421875" style="0" customWidth="1"/>
    <col min="17" max="17" width="11.7109375" style="0" customWidth="1"/>
    <col min="18" max="18" width="13.00390625" style="0" customWidth="1"/>
    <col min="19" max="19" width="1.7109375" style="0" hidden="1" customWidth="1"/>
    <col min="20" max="20" width="5.00390625" style="0" customWidth="1"/>
    <col min="21" max="21" width="19.140625" style="0" customWidth="1"/>
    <col min="22" max="22" width="19.421875" style="0" customWidth="1"/>
    <col min="23" max="23" width="16.8515625" style="0" customWidth="1"/>
    <col min="24" max="24" width="3.57421875" style="0" customWidth="1"/>
    <col min="25" max="26" width="13.57421875" style="42" hidden="1" customWidth="1"/>
    <col min="27" max="27" width="9.140625" style="42" customWidth="1"/>
  </cols>
  <sheetData>
    <row r="1" spans="1:23" ht="54.75" customHeight="1">
      <c r="A1" s="1463" t="s">
        <v>408</v>
      </c>
      <c r="B1" s="1463" t="s">
        <v>630</v>
      </c>
      <c r="C1" s="1474" t="s">
        <v>427</v>
      </c>
      <c r="D1" s="1474"/>
      <c r="E1" s="1474"/>
      <c r="F1" s="1474"/>
      <c r="G1" s="1474"/>
      <c r="H1" s="1474"/>
      <c r="I1" s="1473" t="s">
        <v>98</v>
      </c>
      <c r="J1" s="1473"/>
      <c r="K1" s="1473"/>
      <c r="L1" s="1473"/>
      <c r="M1" s="1473" t="s">
        <v>27</v>
      </c>
      <c r="N1" s="1475"/>
      <c r="O1" s="1475"/>
      <c r="P1" s="1475"/>
      <c r="Q1" s="1475"/>
      <c r="R1" s="1475"/>
      <c r="S1" s="1475"/>
      <c r="T1" s="1475"/>
      <c r="U1" s="1475"/>
      <c r="V1" s="1473" t="s">
        <v>282</v>
      </c>
      <c r="W1" s="1473"/>
    </row>
    <row r="2" spans="1:26" ht="95.25" customHeight="1">
      <c r="A2" s="1464"/>
      <c r="B2" s="1471"/>
      <c r="C2" s="1478" t="s">
        <v>684</v>
      </c>
      <c r="D2" s="1467" t="s">
        <v>23</v>
      </c>
      <c r="E2" s="1467" t="s">
        <v>422</v>
      </c>
      <c r="F2" s="1467" t="s">
        <v>685</v>
      </c>
      <c r="G2" s="1467" t="s">
        <v>438</v>
      </c>
      <c r="H2" s="1470" t="s">
        <v>686</v>
      </c>
      <c r="I2" s="1470" t="s">
        <v>682</v>
      </c>
      <c r="J2" s="1467" t="s">
        <v>438</v>
      </c>
      <c r="K2" s="1470" t="s">
        <v>683</v>
      </c>
      <c r="L2" s="1465" t="s">
        <v>425</v>
      </c>
      <c r="M2" s="1472" t="s">
        <v>212</v>
      </c>
      <c r="N2" s="1470" t="s">
        <v>233</v>
      </c>
      <c r="O2" s="1476"/>
      <c r="P2" s="1470" t="s">
        <v>213</v>
      </c>
      <c r="Q2" s="1470" t="s">
        <v>420</v>
      </c>
      <c r="R2" s="500" t="s">
        <v>291</v>
      </c>
      <c r="S2" s="719"/>
      <c r="T2" s="1476"/>
      <c r="U2" s="1470" t="s">
        <v>674</v>
      </c>
      <c r="V2" s="1465" t="s">
        <v>673</v>
      </c>
      <c r="W2" s="1465" t="s">
        <v>24</v>
      </c>
      <c r="Y2" s="1461"/>
      <c r="Z2" s="725"/>
    </row>
    <row r="3" spans="1:26" ht="24.75" customHeight="1">
      <c r="A3" s="1464"/>
      <c r="B3" s="1471"/>
      <c r="C3" s="1479"/>
      <c r="D3" s="1468"/>
      <c r="E3" s="1468"/>
      <c r="F3" s="1469"/>
      <c r="G3" s="1468"/>
      <c r="H3" s="1471"/>
      <c r="I3" s="1470"/>
      <c r="J3" s="1468"/>
      <c r="K3" s="1470"/>
      <c r="L3" s="1465"/>
      <c r="M3" s="1472"/>
      <c r="N3" s="1470"/>
      <c r="O3" s="1477"/>
      <c r="P3" s="1470"/>
      <c r="Q3" s="1470"/>
      <c r="R3" s="823">
        <v>47357</v>
      </c>
      <c r="S3" s="730"/>
      <c r="T3" s="1477"/>
      <c r="U3" s="1470"/>
      <c r="V3" s="1466"/>
      <c r="W3" s="1465"/>
      <c r="Y3" s="1462"/>
      <c r="Z3" s="726"/>
    </row>
    <row r="4" spans="1:26" ht="12.75">
      <c r="A4" s="555"/>
      <c r="B4" s="555"/>
      <c r="C4" s="554">
        <v>1</v>
      </c>
      <c r="D4" s="499">
        <f>C4+1</f>
        <v>2</v>
      </c>
      <c r="E4" s="499">
        <f aca="true" t="shared" si="0" ref="E4:W4">D4+1</f>
        <v>3</v>
      </c>
      <c r="F4" s="499">
        <f t="shared" si="0"/>
        <v>4</v>
      </c>
      <c r="G4" s="499">
        <f t="shared" si="0"/>
        <v>5</v>
      </c>
      <c r="H4" s="499">
        <f t="shared" si="0"/>
        <v>6</v>
      </c>
      <c r="I4" s="499">
        <f t="shared" si="0"/>
        <v>7</v>
      </c>
      <c r="J4" s="499">
        <f t="shared" si="0"/>
        <v>8</v>
      </c>
      <c r="K4" s="499">
        <f t="shared" si="0"/>
        <v>9</v>
      </c>
      <c r="L4" s="607">
        <f t="shared" si="0"/>
        <v>10</v>
      </c>
      <c r="M4" s="554">
        <f t="shared" si="0"/>
        <v>11</v>
      </c>
      <c r="N4" s="499">
        <f t="shared" si="0"/>
        <v>12</v>
      </c>
      <c r="O4" s="499">
        <f t="shared" si="0"/>
        <v>13</v>
      </c>
      <c r="P4" s="499">
        <f t="shared" si="0"/>
        <v>14</v>
      </c>
      <c r="Q4" s="499">
        <f t="shared" si="0"/>
        <v>15</v>
      </c>
      <c r="R4" s="499">
        <f t="shared" si="0"/>
        <v>16</v>
      </c>
      <c r="S4" s="499"/>
      <c r="T4" s="499">
        <f>R4+1</f>
        <v>17</v>
      </c>
      <c r="U4" s="499">
        <f t="shared" si="0"/>
        <v>18</v>
      </c>
      <c r="V4" s="499">
        <f t="shared" si="0"/>
        <v>19</v>
      </c>
      <c r="W4" s="499">
        <f t="shared" si="0"/>
        <v>20</v>
      </c>
      <c r="Y4" s="727"/>
      <c r="Z4" s="726"/>
    </row>
    <row r="5" spans="1:26" ht="12.75">
      <c r="A5" s="404">
        <v>1</v>
      </c>
      <c r="B5" s="556" t="s">
        <v>302</v>
      </c>
      <c r="C5" s="550">
        <f>'Table 3 Levels 1&amp;2'!AG8</f>
        <v>40496394.566912</v>
      </c>
      <c r="D5" s="166">
        <f>C5/'Table 3 Levels 1&amp;2'!C8</f>
        <v>4530.304795493009</v>
      </c>
      <c r="E5" s="566">
        <f>RANK(D5,$D$5:$D$73)</f>
        <v>40</v>
      </c>
      <c r="F5" s="571">
        <f>'[6]Table 3 Levels 1&amp;2'!AG8</f>
        <v>40934662.56614</v>
      </c>
      <c r="G5" s="571">
        <f>'[6]Table 3 Levels 1&amp;2'!AH8</f>
        <v>4551</v>
      </c>
      <c r="H5" s="551">
        <f>C5-F5</f>
        <v>-438267.99922800064</v>
      </c>
      <c r="I5" s="559">
        <f aca="true" t="shared" si="1" ref="I5:I68">IF(H5&gt;0,H5,0)</f>
        <v>0</v>
      </c>
      <c r="J5" s="167">
        <f>I5/'Table 3 Levels 1&amp;2'!C8</f>
        <v>0</v>
      </c>
      <c r="K5" s="167">
        <f aca="true" t="shared" si="2" ref="K5:K68">IF(H5&lt;0,H5,0)</f>
        <v>-438267.99922800064</v>
      </c>
      <c r="L5" s="608">
        <f aca="true" t="shared" si="3" ref="L5:L68">IF(K5&lt;0,1,0)</f>
        <v>1</v>
      </c>
      <c r="M5" s="863">
        <f>IF(I5&lt;0,0,(ROUND(D5*'Table 8 Membership, 2.1.09'!V5,0)*-1))</f>
        <v>0</v>
      </c>
      <c r="N5" s="166">
        <f>IF(I5+M5&gt;0,I5+M5,0)</f>
        <v>0</v>
      </c>
      <c r="O5" s="276">
        <f>IF(N5&gt;0,1,0)</f>
        <v>0</v>
      </c>
      <c r="P5" s="304">
        <f>ROUND((N5/2),0)</f>
        <v>0</v>
      </c>
      <c r="Q5" s="821">
        <f>'[11]City-Parish School Districts'!J8</f>
        <v>44393.06933480004</v>
      </c>
      <c r="R5" s="279">
        <f>IF(Q5&lt;$R$3,IF(P5&gt;0,P5,0),0)</f>
        <v>0</v>
      </c>
      <c r="S5" s="279"/>
      <c r="T5" s="565">
        <f aca="true" t="shared" si="4" ref="T5:T68">IF(R5&gt;0,1,0)</f>
        <v>0</v>
      </c>
      <c r="U5" s="666">
        <f>IF(R5&gt;0,ROUND(R5/1.1695,0),0)</f>
        <v>0</v>
      </c>
      <c r="V5" s="305">
        <f>'[12]PEP Excluding State Employees08'!S10</f>
        <v>780.4198222603654</v>
      </c>
      <c r="W5" s="560">
        <f aca="true" t="shared" si="5" ref="W5:W36">ROUND(U5/V5,0)</f>
        <v>0</v>
      </c>
      <c r="Y5" s="728"/>
      <c r="Z5" s="444"/>
    </row>
    <row r="6" spans="1:26" ht="12.75">
      <c r="A6" s="404">
        <v>2</v>
      </c>
      <c r="B6" s="556" t="s">
        <v>303</v>
      </c>
      <c r="C6" s="548">
        <f>'Table 3 Levels 1&amp;2'!AG9</f>
        <v>23291650.43762</v>
      </c>
      <c r="D6" s="9">
        <f>C6/'Table 3 Levels 1&amp;2'!C9</f>
        <v>5830.200359854818</v>
      </c>
      <c r="E6" s="568">
        <f aca="true" t="shared" si="6" ref="E6:E69">RANK(D6,$D$5:$D$73)</f>
        <v>6</v>
      </c>
      <c r="F6" s="572">
        <f>'[6]Table 3 Levels 1&amp;2'!AG9</f>
        <v>23063339.151424</v>
      </c>
      <c r="G6" s="572">
        <f>'[6]Table 3 Levels 1&amp;2'!AH9</f>
        <v>5699</v>
      </c>
      <c r="H6" s="552">
        <f aca="true" t="shared" si="7" ref="H6:H69">C6-F6</f>
        <v>228311.28619600087</v>
      </c>
      <c r="I6" s="561">
        <f t="shared" si="1"/>
        <v>228311.28619600087</v>
      </c>
      <c r="J6" s="53">
        <f>I6/'Table 3 Levels 1&amp;2'!C9</f>
        <v>57.14925812165228</v>
      </c>
      <c r="K6" s="53">
        <f t="shared" si="2"/>
        <v>0</v>
      </c>
      <c r="L6" s="609">
        <f t="shared" si="3"/>
        <v>0</v>
      </c>
      <c r="M6" s="864">
        <f>IF(I6&lt;0,0,(ROUND(D6*'Table 8 Membership, 2.1.09'!V6,0)*-1))</f>
        <v>0</v>
      </c>
      <c r="N6" s="9">
        <f aca="true" t="shared" si="8" ref="N6:N69">IF(I6+M6&gt;0,I6+M6,0)</f>
        <v>228311.28619600087</v>
      </c>
      <c r="O6" s="274">
        <f aca="true" t="shared" si="9" ref="O6:O69">IF(N6&gt;0,1,0)</f>
        <v>1</v>
      </c>
      <c r="P6" s="302">
        <f aca="true" t="shared" si="10" ref="P6:P69">ROUND((N6/2),0)</f>
        <v>114156</v>
      </c>
      <c r="Q6" s="300">
        <f>'[11]City-Parish School Districts'!J9</f>
        <v>44020.16954022989</v>
      </c>
      <c r="R6" s="277">
        <f aca="true" t="shared" si="11" ref="R6:R69">IF(Q6&lt;$R$3,IF(P6&gt;0,P6,0),0)</f>
        <v>114156</v>
      </c>
      <c r="S6" s="277"/>
      <c r="T6" s="567">
        <f t="shared" si="4"/>
        <v>1</v>
      </c>
      <c r="U6" s="667">
        <f aca="true" t="shared" si="12" ref="U6:U69">IF(R6&gt;0,ROUND(R6/1.1695,0),0)</f>
        <v>97611</v>
      </c>
      <c r="V6" s="306">
        <f>'[12]PEP Excluding State Employees08'!S11</f>
        <v>426</v>
      </c>
      <c r="W6" s="562">
        <f t="shared" si="5"/>
        <v>229</v>
      </c>
      <c r="Y6" s="728"/>
      <c r="Z6" s="444"/>
    </row>
    <row r="7" spans="1:26" ht="12.75">
      <c r="A7" s="404">
        <v>3</v>
      </c>
      <c r="B7" s="556" t="s">
        <v>304</v>
      </c>
      <c r="C7" s="548">
        <f>'Table 3 Levels 1&amp;2'!AG10</f>
        <v>74676604.8171184</v>
      </c>
      <c r="D7" s="9">
        <f>C7/'Table 3 Levels 1&amp;2'!C10</f>
        <v>4001.5327841130857</v>
      </c>
      <c r="E7" s="568">
        <f t="shared" si="6"/>
        <v>52</v>
      </c>
      <c r="F7" s="572">
        <f>'[6]Table 3 Levels 1&amp;2'!AG10</f>
        <v>75494010.45861161</v>
      </c>
      <c r="G7" s="572">
        <f>'[6]Table 3 Levels 1&amp;2'!AH10</f>
        <v>4148</v>
      </c>
      <c r="H7" s="552">
        <f t="shared" si="7"/>
        <v>-817405.6414932013</v>
      </c>
      <c r="I7" s="561">
        <f t="shared" si="1"/>
        <v>0</v>
      </c>
      <c r="J7" s="53">
        <f>I7/'Table 3 Levels 1&amp;2'!C10</f>
        <v>0</v>
      </c>
      <c r="K7" s="53">
        <f t="shared" si="2"/>
        <v>-817405.6414932013</v>
      </c>
      <c r="L7" s="609">
        <f t="shared" si="3"/>
        <v>1</v>
      </c>
      <c r="M7" s="864">
        <f>IF(I7&lt;0,0,(ROUND(D7*'Table 8 Membership, 2.1.09'!V7,0)*-1))</f>
        <v>-1872717</v>
      </c>
      <c r="N7" s="9">
        <f t="shared" si="8"/>
        <v>0</v>
      </c>
      <c r="O7" s="274">
        <f t="shared" si="9"/>
        <v>0</v>
      </c>
      <c r="P7" s="302">
        <f t="shared" si="10"/>
        <v>0</v>
      </c>
      <c r="Q7" s="497">
        <f>'[11]City-Parish School Districts'!J10</f>
        <v>49666.519393336646</v>
      </c>
      <c r="R7" s="277">
        <f t="shared" si="11"/>
        <v>0</v>
      </c>
      <c r="S7" s="277"/>
      <c r="T7" s="567">
        <f t="shared" si="4"/>
        <v>0</v>
      </c>
      <c r="U7" s="667">
        <f t="shared" si="12"/>
        <v>0</v>
      </c>
      <c r="V7" s="306">
        <f>'[12]PEP Excluding State Employees08'!S12</f>
        <v>1612.934065934066</v>
      </c>
      <c r="W7" s="562">
        <f t="shared" si="5"/>
        <v>0</v>
      </c>
      <c r="Y7" s="728"/>
      <c r="Z7" s="444"/>
    </row>
    <row r="8" spans="1:26" ht="12.75">
      <c r="A8" s="404">
        <v>4</v>
      </c>
      <c r="B8" s="556" t="s">
        <v>305</v>
      </c>
      <c r="C8" s="548">
        <f>'Table 3 Levels 1&amp;2'!AG11</f>
        <v>22183504.460064</v>
      </c>
      <c r="D8" s="9">
        <f>C8/'Table 3 Levels 1&amp;2'!C11</f>
        <v>5898.299510785429</v>
      </c>
      <c r="E8" s="568">
        <f t="shared" si="6"/>
        <v>5</v>
      </c>
      <c r="F8" s="572">
        <f>'[6]Table 3 Levels 1&amp;2'!AG11</f>
        <v>22996251.497840002</v>
      </c>
      <c r="G8" s="572">
        <f>'[6]Table 3 Levels 1&amp;2'!AH11</f>
        <v>5938</v>
      </c>
      <c r="H8" s="552">
        <f t="shared" si="7"/>
        <v>-812747.0377760008</v>
      </c>
      <c r="I8" s="561">
        <f t="shared" si="1"/>
        <v>0</v>
      </c>
      <c r="J8" s="53">
        <f>I8/'Table 3 Levels 1&amp;2'!C11</f>
        <v>0</v>
      </c>
      <c r="K8" s="53">
        <f t="shared" si="2"/>
        <v>-812747.0377760008</v>
      </c>
      <c r="L8" s="609">
        <f t="shared" si="3"/>
        <v>1</v>
      </c>
      <c r="M8" s="864">
        <f>IF(I8&lt;0,0,(ROUND(D8*'Table 8 Membership, 2.1.09'!V8,0)*-1))</f>
        <v>0</v>
      </c>
      <c r="N8" s="9">
        <f t="shared" si="8"/>
        <v>0</v>
      </c>
      <c r="O8" s="274">
        <f t="shared" si="9"/>
        <v>0</v>
      </c>
      <c r="P8" s="302">
        <f t="shared" si="10"/>
        <v>0</v>
      </c>
      <c r="Q8" s="300">
        <f>'[11]City-Parish School Districts'!J11</f>
        <v>46297.9058571346</v>
      </c>
      <c r="R8" s="277">
        <f t="shared" si="11"/>
        <v>0</v>
      </c>
      <c r="S8" s="277"/>
      <c r="T8" s="567">
        <f t="shared" si="4"/>
        <v>0</v>
      </c>
      <c r="U8" s="667">
        <f t="shared" si="12"/>
        <v>0</v>
      </c>
      <c r="V8" s="306">
        <f>'[12]PEP Excluding State Employees08'!S13</f>
        <v>361.24088906331764</v>
      </c>
      <c r="W8" s="562">
        <f t="shared" si="5"/>
        <v>0</v>
      </c>
      <c r="Y8" s="728"/>
      <c r="Z8" s="444"/>
    </row>
    <row r="9" spans="1:26" ht="12.75">
      <c r="A9" s="405">
        <v>5</v>
      </c>
      <c r="B9" s="557" t="s">
        <v>306</v>
      </c>
      <c r="C9" s="549">
        <f>'Table 3 Levels 1&amp;2'!AG12</f>
        <v>28603976.815976</v>
      </c>
      <c r="D9" s="86">
        <f>C9/'Table 3 Levels 1&amp;2'!C12</f>
        <v>4834.202605370289</v>
      </c>
      <c r="E9" s="573">
        <f t="shared" si="6"/>
        <v>35</v>
      </c>
      <c r="F9" s="574">
        <f>'[6]Table 3 Levels 1&amp;2'!AG12</f>
        <v>27964870.7808</v>
      </c>
      <c r="G9" s="575">
        <f>'[6]Table 3 Levels 1&amp;2'!AH12</f>
        <v>4775</v>
      </c>
      <c r="H9" s="553">
        <f t="shared" si="7"/>
        <v>639106.0351760015</v>
      </c>
      <c r="I9" s="563">
        <f t="shared" si="1"/>
        <v>639106.0351760015</v>
      </c>
      <c r="J9" s="150">
        <f>I9/'Table 3 Levels 1&amp;2'!C12</f>
        <v>108.01183626432339</v>
      </c>
      <c r="K9" s="150">
        <f t="shared" si="2"/>
        <v>0</v>
      </c>
      <c r="L9" s="610">
        <f t="shared" si="3"/>
        <v>0</v>
      </c>
      <c r="M9" s="865">
        <f>IF(I9&lt;0,0,(ROUND(D9*'Table 8 Membership, 2.1.09'!V9,0)*-1))</f>
        <v>-251379</v>
      </c>
      <c r="N9" s="86">
        <f t="shared" si="8"/>
        <v>387727.0351760015</v>
      </c>
      <c r="O9" s="275">
        <f t="shared" si="9"/>
        <v>1</v>
      </c>
      <c r="P9" s="303">
        <f t="shared" si="10"/>
        <v>193864</v>
      </c>
      <c r="Q9" s="301">
        <f>'[11]City-Parish School Districts'!J12</f>
        <v>41797.225718194255</v>
      </c>
      <c r="R9" s="278">
        <f t="shared" si="11"/>
        <v>193864</v>
      </c>
      <c r="S9" s="278"/>
      <c r="T9" s="569">
        <f t="shared" si="4"/>
        <v>1</v>
      </c>
      <c r="U9" s="668">
        <f t="shared" si="12"/>
        <v>165767</v>
      </c>
      <c r="V9" s="307">
        <f>'[12]PEP Excluding State Employees08'!S14</f>
        <v>458.675</v>
      </c>
      <c r="W9" s="564">
        <f t="shared" si="5"/>
        <v>361</v>
      </c>
      <c r="Y9" s="728"/>
      <c r="Z9" s="444"/>
    </row>
    <row r="10" spans="1:26" ht="12.75">
      <c r="A10" s="404">
        <v>6</v>
      </c>
      <c r="B10" s="556" t="s">
        <v>307</v>
      </c>
      <c r="C10" s="548">
        <f>'Table 3 Levels 1&amp;2'!AG13</f>
        <v>31056953.42472</v>
      </c>
      <c r="D10" s="9">
        <f>C10/'Table 3 Levels 1&amp;2'!C13</f>
        <v>5254.983659005076</v>
      </c>
      <c r="E10" s="568">
        <f t="shared" si="6"/>
        <v>27</v>
      </c>
      <c r="F10" s="572">
        <f>'[6]Table 3 Levels 1&amp;2'!AG13</f>
        <v>30909032.393216</v>
      </c>
      <c r="G10" s="572">
        <f>'[6]Table 3 Levels 1&amp;2'!AH13</f>
        <v>5131</v>
      </c>
      <c r="H10" s="552">
        <f t="shared" si="7"/>
        <v>147921.03150400147</v>
      </c>
      <c r="I10" s="561">
        <f t="shared" si="1"/>
        <v>147921.03150400147</v>
      </c>
      <c r="J10" s="53">
        <f>I10/'Table 3 Levels 1&amp;2'!C13</f>
        <v>25.02893934077859</v>
      </c>
      <c r="K10" s="53">
        <f t="shared" si="2"/>
        <v>0</v>
      </c>
      <c r="L10" s="609">
        <f t="shared" si="3"/>
        <v>0</v>
      </c>
      <c r="M10" s="864">
        <f>IF(I10&lt;0,0,(ROUND(D10*'Table 8 Membership, 2.1.09'!V10,0)*-1))</f>
        <v>0</v>
      </c>
      <c r="N10" s="9">
        <f t="shared" si="8"/>
        <v>147921.03150400147</v>
      </c>
      <c r="O10" s="274">
        <f t="shared" si="9"/>
        <v>1</v>
      </c>
      <c r="P10" s="302">
        <f t="shared" si="10"/>
        <v>73961</v>
      </c>
      <c r="Q10" s="300">
        <f>'[11]City-Parish School Districts'!J13</f>
        <v>43786.12981814955</v>
      </c>
      <c r="R10" s="277">
        <f t="shared" si="11"/>
        <v>73961</v>
      </c>
      <c r="S10" s="277"/>
      <c r="T10" s="567">
        <f t="shared" si="4"/>
        <v>1</v>
      </c>
      <c r="U10" s="667">
        <f t="shared" si="12"/>
        <v>63242</v>
      </c>
      <c r="V10" s="306">
        <f>'[12]PEP Excluding State Employees08'!S15</f>
        <v>312.4222222222222</v>
      </c>
      <c r="W10" s="562">
        <f t="shared" si="5"/>
        <v>202</v>
      </c>
      <c r="Y10" s="728"/>
      <c r="Z10" s="444"/>
    </row>
    <row r="11" spans="1:26" ht="12.75">
      <c r="A11" s="404">
        <v>7</v>
      </c>
      <c r="B11" s="556" t="s">
        <v>308</v>
      </c>
      <c r="C11" s="548">
        <f>'Table 3 Levels 1&amp;2'!AG14</f>
        <v>5143620.1590728</v>
      </c>
      <c r="D11" s="9">
        <f>C11/'Table 3 Levels 1&amp;2'!C14</f>
        <v>2423.9491795819035</v>
      </c>
      <c r="E11" s="568">
        <f t="shared" si="6"/>
        <v>65</v>
      </c>
      <c r="F11" s="572">
        <f>'[6]Table 3 Levels 1&amp;2'!AG14</f>
        <v>6957496.930819999</v>
      </c>
      <c r="G11" s="572">
        <f>'[6]Table 3 Levels 1&amp;2'!AH14</f>
        <v>3186</v>
      </c>
      <c r="H11" s="552">
        <f t="shared" si="7"/>
        <v>-1813876.7717471998</v>
      </c>
      <c r="I11" s="561">
        <f t="shared" si="1"/>
        <v>0</v>
      </c>
      <c r="J11" s="53">
        <f>I11/'Table 3 Levels 1&amp;2'!C14</f>
        <v>0</v>
      </c>
      <c r="K11" s="53">
        <f t="shared" si="2"/>
        <v>-1813876.7717471998</v>
      </c>
      <c r="L11" s="609">
        <f t="shared" si="3"/>
        <v>1</v>
      </c>
      <c r="M11" s="864">
        <f>IF(I11&lt;0,0,(ROUND(D11*'Table 8 Membership, 2.1.09'!V11,0)*-1))</f>
        <v>0</v>
      </c>
      <c r="N11" s="9">
        <f t="shared" si="8"/>
        <v>0</v>
      </c>
      <c r="O11" s="274">
        <f t="shared" si="9"/>
        <v>0</v>
      </c>
      <c r="P11" s="302">
        <f t="shared" si="10"/>
        <v>0</v>
      </c>
      <c r="Q11" s="497">
        <f>'[11]City-Parish School Districts'!J14</f>
        <v>50126.115657099705</v>
      </c>
      <c r="R11" s="277">
        <f t="shared" si="11"/>
        <v>0</v>
      </c>
      <c r="S11" s="277"/>
      <c r="T11" s="567">
        <f t="shared" si="4"/>
        <v>0</v>
      </c>
      <c r="U11" s="667">
        <f t="shared" si="12"/>
        <v>0</v>
      </c>
      <c r="V11" s="306">
        <f>'[12]PEP Excluding State Employees08'!S16</f>
        <v>227.00000000000003</v>
      </c>
      <c r="W11" s="562">
        <f t="shared" si="5"/>
        <v>0</v>
      </c>
      <c r="Y11" s="728"/>
      <c r="Z11" s="444"/>
    </row>
    <row r="12" spans="1:26" ht="12.75">
      <c r="A12" s="404">
        <v>8</v>
      </c>
      <c r="B12" s="556" t="s">
        <v>309</v>
      </c>
      <c r="C12" s="548">
        <f>'Table 3 Levels 1&amp;2'!AG15</f>
        <v>79706984.7033404</v>
      </c>
      <c r="D12" s="9">
        <f>C12/'Table 3 Levels 1&amp;2'!C15</f>
        <v>4133.750892196888</v>
      </c>
      <c r="E12" s="568">
        <f t="shared" si="6"/>
        <v>48</v>
      </c>
      <c r="F12" s="572">
        <f>'[6]Table 3 Levels 1&amp;2'!AG15</f>
        <v>76883913.0939728</v>
      </c>
      <c r="G12" s="572">
        <f>'[6]Table 3 Levels 1&amp;2'!AH15</f>
        <v>4012</v>
      </c>
      <c r="H12" s="552">
        <f t="shared" si="7"/>
        <v>2823071.609367594</v>
      </c>
      <c r="I12" s="561">
        <f t="shared" si="1"/>
        <v>2823071.609367594</v>
      </c>
      <c r="J12" s="53">
        <f>I12/'Table 3 Levels 1&amp;2'!C15</f>
        <v>146.40968827754352</v>
      </c>
      <c r="K12" s="53">
        <f t="shared" si="2"/>
        <v>0</v>
      </c>
      <c r="L12" s="609">
        <f t="shared" si="3"/>
        <v>0</v>
      </c>
      <c r="M12" s="864">
        <f>IF(I12&lt;0,0,(ROUND(D12*'Table 8 Membership, 2.1.09'!V12,0)*-1))</f>
        <v>-491916</v>
      </c>
      <c r="N12" s="9">
        <f t="shared" si="8"/>
        <v>2331155.609367594</v>
      </c>
      <c r="O12" s="274">
        <f t="shared" si="9"/>
        <v>1</v>
      </c>
      <c r="P12" s="302">
        <f t="shared" si="10"/>
        <v>1165578</v>
      </c>
      <c r="Q12" s="300">
        <f>'[11]City-Parish School Districts'!J15</f>
        <v>46552.07988289055</v>
      </c>
      <c r="R12" s="277">
        <f t="shared" si="11"/>
        <v>1165578</v>
      </c>
      <c r="S12" s="277"/>
      <c r="T12" s="567">
        <f t="shared" si="4"/>
        <v>1</v>
      </c>
      <c r="U12" s="667">
        <f t="shared" si="12"/>
        <v>996646</v>
      </c>
      <c r="V12" s="306">
        <f>'[12]PEP Excluding State Employees08'!S17</f>
        <v>1638.6578653354218</v>
      </c>
      <c r="W12" s="562">
        <f t="shared" si="5"/>
        <v>608</v>
      </c>
      <c r="Y12" s="728"/>
      <c r="Z12" s="444"/>
    </row>
    <row r="13" spans="1:26" ht="12.75">
      <c r="A13" s="404">
        <v>9</v>
      </c>
      <c r="B13" s="556" t="s">
        <v>310</v>
      </c>
      <c r="C13" s="548">
        <f>'Table 3 Levels 1&amp;2'!AG16</f>
        <v>183508259.9371008</v>
      </c>
      <c r="D13" s="9">
        <f>C13/'Table 3 Levels 1&amp;2'!C16</f>
        <v>4435.780999204757</v>
      </c>
      <c r="E13" s="568">
        <f t="shared" si="6"/>
        <v>44</v>
      </c>
      <c r="F13" s="572">
        <f>'[6]Table 3 Levels 1&amp;2'!AG16</f>
        <v>184404344.592128</v>
      </c>
      <c r="G13" s="572">
        <f>'[6]Table 3 Levels 1&amp;2'!AH16</f>
        <v>4450</v>
      </c>
      <c r="H13" s="552">
        <f t="shared" si="7"/>
        <v>-896084.6550272107</v>
      </c>
      <c r="I13" s="561">
        <f t="shared" si="1"/>
        <v>0</v>
      </c>
      <c r="J13" s="53">
        <f>I13/'Table 3 Levels 1&amp;2'!C16</f>
        <v>0</v>
      </c>
      <c r="K13" s="53">
        <f t="shared" si="2"/>
        <v>-896084.6550272107</v>
      </c>
      <c r="L13" s="609">
        <f t="shared" si="3"/>
        <v>1</v>
      </c>
      <c r="M13" s="864">
        <f>IF(I13&lt;0,0,(ROUND(D13*'Table 8 Membership, 2.1.09'!V13,0)*-1))</f>
        <v>0</v>
      </c>
      <c r="N13" s="9">
        <f t="shared" si="8"/>
        <v>0</v>
      </c>
      <c r="O13" s="274">
        <f t="shared" si="9"/>
        <v>0</v>
      </c>
      <c r="P13" s="302">
        <f t="shared" si="10"/>
        <v>0</v>
      </c>
      <c r="Q13" s="497">
        <f>'[11]City-Parish School Districts'!J16</f>
        <v>47522.39572782798</v>
      </c>
      <c r="R13" s="277">
        <f t="shared" si="11"/>
        <v>0</v>
      </c>
      <c r="S13" s="277"/>
      <c r="T13" s="567">
        <f t="shared" si="4"/>
        <v>0</v>
      </c>
      <c r="U13" s="667">
        <f t="shared" si="12"/>
        <v>0</v>
      </c>
      <c r="V13" s="861">
        <f>'[12]PEP Excluding State Employees08'!S18</f>
        <v>3743.386832271107</v>
      </c>
      <c r="W13" s="862">
        <f t="shared" si="5"/>
        <v>0</v>
      </c>
      <c r="Y13" s="728"/>
      <c r="Z13" s="444"/>
    </row>
    <row r="14" spans="1:26" ht="12.75">
      <c r="A14" s="405">
        <v>10</v>
      </c>
      <c r="B14" s="557" t="s">
        <v>311</v>
      </c>
      <c r="C14" s="549">
        <f>'Table 3 Levels 1&amp;2'!AG17</f>
        <v>123789867.0463408</v>
      </c>
      <c r="D14" s="86">
        <f>C14/'Table 3 Levels 1&amp;2'!C17</f>
        <v>4008.4796012674306</v>
      </c>
      <c r="E14" s="573">
        <f t="shared" si="6"/>
        <v>51</v>
      </c>
      <c r="F14" s="574">
        <f>'[6]Table 3 Levels 1&amp;2'!AG17</f>
        <v>121420294.4511208</v>
      </c>
      <c r="G14" s="575">
        <f>'[6]Table 3 Levels 1&amp;2'!AH17</f>
        <v>3948</v>
      </c>
      <c r="H14" s="553">
        <f t="shared" si="7"/>
        <v>2369572.5952199996</v>
      </c>
      <c r="I14" s="563">
        <f t="shared" si="1"/>
        <v>2369572.5952199996</v>
      </c>
      <c r="J14" s="150">
        <f>I14/'Table 3 Levels 1&amp;2'!C17</f>
        <v>76.72989428210607</v>
      </c>
      <c r="K14" s="150">
        <f t="shared" si="2"/>
        <v>0</v>
      </c>
      <c r="L14" s="610">
        <f t="shared" si="3"/>
        <v>0</v>
      </c>
      <c r="M14" s="865">
        <f>IF(I14&lt;0,0,(ROUND(D14*'Table 8 Membership, 2.1.09'!V14,0)*-1))</f>
        <v>-444941</v>
      </c>
      <c r="N14" s="86">
        <f t="shared" si="8"/>
        <v>1924631.5952199996</v>
      </c>
      <c r="O14" s="275">
        <f t="shared" si="9"/>
        <v>1</v>
      </c>
      <c r="P14" s="303">
        <f t="shared" si="10"/>
        <v>962316</v>
      </c>
      <c r="Q14" s="301">
        <f>'[11]City-Parish School Districts'!J17</f>
        <v>45014.54448986208</v>
      </c>
      <c r="R14" s="278">
        <f t="shared" si="11"/>
        <v>962316</v>
      </c>
      <c r="S14" s="278"/>
      <c r="T14" s="569">
        <f t="shared" si="4"/>
        <v>1</v>
      </c>
      <c r="U14" s="668">
        <f t="shared" si="12"/>
        <v>822844</v>
      </c>
      <c r="V14" s="307">
        <f>'[12]PEP Excluding State Employees08'!S19</f>
        <v>3081.535248553728</v>
      </c>
      <c r="W14" s="564">
        <f t="shared" si="5"/>
        <v>267</v>
      </c>
      <c r="Y14" s="728"/>
      <c r="Z14" s="444"/>
    </row>
    <row r="15" spans="1:26" ht="12.75">
      <c r="A15" s="404">
        <v>11</v>
      </c>
      <c r="B15" s="556" t="s">
        <v>312</v>
      </c>
      <c r="C15" s="548">
        <f>'Table 3 Levels 1&amp;2'!AG18</f>
        <v>9465882.72884</v>
      </c>
      <c r="D15" s="9">
        <f>C15/'Table 3 Levels 1&amp;2'!C18</f>
        <v>5796.621389369259</v>
      </c>
      <c r="E15" s="568">
        <f t="shared" si="6"/>
        <v>8</v>
      </c>
      <c r="F15" s="572">
        <f>'[6]Table 3 Levels 1&amp;2'!AG18</f>
        <v>9534151.5193</v>
      </c>
      <c r="G15" s="572">
        <f>'[6]Table 3 Levels 1&amp;2'!AH18</f>
        <v>5730</v>
      </c>
      <c r="H15" s="552">
        <f t="shared" si="7"/>
        <v>-68268.79045999981</v>
      </c>
      <c r="I15" s="561">
        <f t="shared" si="1"/>
        <v>0</v>
      </c>
      <c r="J15" s="53">
        <f>I15/'Table 3 Levels 1&amp;2'!C18</f>
        <v>0</v>
      </c>
      <c r="K15" s="53">
        <f t="shared" si="2"/>
        <v>-68268.79045999981</v>
      </c>
      <c r="L15" s="609">
        <f t="shared" si="3"/>
        <v>1</v>
      </c>
      <c r="M15" s="864">
        <f>IF(I15&lt;0,0,(ROUND(D15*'Table 8 Membership, 2.1.09'!V15,0)*-1))</f>
        <v>0</v>
      </c>
      <c r="N15" s="9">
        <f t="shared" si="8"/>
        <v>0</v>
      </c>
      <c r="O15" s="274">
        <f t="shared" si="9"/>
        <v>0</v>
      </c>
      <c r="P15" s="302">
        <f t="shared" si="10"/>
        <v>0</v>
      </c>
      <c r="Q15" s="300">
        <f>'[11]City-Parish School Districts'!J18</f>
        <v>40498.662463130175</v>
      </c>
      <c r="R15" s="277">
        <f t="shared" si="11"/>
        <v>0</v>
      </c>
      <c r="S15" s="277"/>
      <c r="T15" s="567">
        <f t="shared" si="4"/>
        <v>0</v>
      </c>
      <c r="U15" s="667">
        <f t="shared" si="12"/>
        <v>0</v>
      </c>
      <c r="V15" s="306">
        <f>'[12]PEP Excluding State Employees08'!S20</f>
        <v>161.00143451599254</v>
      </c>
      <c r="W15" s="562">
        <f t="shared" si="5"/>
        <v>0</v>
      </c>
      <c r="Y15" s="728"/>
      <c r="Z15" s="444"/>
    </row>
    <row r="16" spans="1:26" ht="12.75">
      <c r="A16" s="404">
        <v>12</v>
      </c>
      <c r="B16" s="556" t="s">
        <v>313</v>
      </c>
      <c r="C16" s="548">
        <f>'Table 3 Levels 1&amp;2'!AG19</f>
        <v>3439613.1253440003</v>
      </c>
      <c r="D16" s="9">
        <f>C16/'Table 3 Levels 1&amp;2'!C19</f>
        <v>2631.6856353052794</v>
      </c>
      <c r="E16" s="568">
        <f t="shared" si="6"/>
        <v>63</v>
      </c>
      <c r="F16" s="572">
        <f>'[6]Table 3 Levels 1&amp;2'!AG19</f>
        <v>5192233.661936</v>
      </c>
      <c r="G16" s="572">
        <f>'[6]Table 3 Levels 1&amp;2'!AH19</f>
        <v>3499</v>
      </c>
      <c r="H16" s="552">
        <f t="shared" si="7"/>
        <v>-1752620.5365919997</v>
      </c>
      <c r="I16" s="561">
        <f t="shared" si="1"/>
        <v>0</v>
      </c>
      <c r="J16" s="53">
        <f>I16/'Table 3 Levels 1&amp;2'!C19</f>
        <v>0</v>
      </c>
      <c r="K16" s="53">
        <f t="shared" si="2"/>
        <v>-1752620.5365919997</v>
      </c>
      <c r="L16" s="609">
        <f t="shared" si="3"/>
        <v>1</v>
      </c>
      <c r="M16" s="864">
        <f>IF(I16&lt;0,0,(ROUND(D16*'Table 8 Membership, 2.1.09'!V16,0)*-1))</f>
        <v>0</v>
      </c>
      <c r="N16" s="9">
        <f t="shared" si="8"/>
        <v>0</v>
      </c>
      <c r="O16" s="274">
        <f t="shared" si="9"/>
        <v>0</v>
      </c>
      <c r="P16" s="302">
        <f t="shared" si="10"/>
        <v>0</v>
      </c>
      <c r="Q16" s="497">
        <f>'[11]City-Parish School Districts'!J19</f>
        <v>47608.06721183424</v>
      </c>
      <c r="R16" s="277">
        <f t="shared" si="11"/>
        <v>0</v>
      </c>
      <c r="S16" s="277"/>
      <c r="T16" s="567">
        <f t="shared" si="4"/>
        <v>0</v>
      </c>
      <c r="U16" s="667">
        <f t="shared" si="12"/>
        <v>0</v>
      </c>
      <c r="V16" s="306">
        <f>'[12]PEP Excluding State Employees08'!S21</f>
        <v>190.2034079324068</v>
      </c>
      <c r="W16" s="562">
        <f t="shared" si="5"/>
        <v>0</v>
      </c>
      <c r="Y16" s="728"/>
      <c r="Z16" s="444"/>
    </row>
    <row r="17" spans="1:26" ht="12.75">
      <c r="A17" s="404">
        <v>13</v>
      </c>
      <c r="B17" s="556" t="s">
        <v>314</v>
      </c>
      <c r="C17" s="548">
        <f>'Table 3 Levels 1&amp;2'!AG20</f>
        <v>8769104.112436</v>
      </c>
      <c r="D17" s="9">
        <f>C17/'Table 3 Levels 1&amp;2'!C20</f>
        <v>5450.033631097576</v>
      </c>
      <c r="E17" s="568">
        <f t="shared" si="6"/>
        <v>18</v>
      </c>
      <c r="F17" s="572">
        <f>'[6]Table 3 Levels 1&amp;2'!AG20</f>
        <v>9137674.863576</v>
      </c>
      <c r="G17" s="572">
        <f>'[6]Table 3 Levels 1&amp;2'!AH20</f>
        <v>5426</v>
      </c>
      <c r="H17" s="552">
        <f t="shared" si="7"/>
        <v>-368570.7511400003</v>
      </c>
      <c r="I17" s="561">
        <f t="shared" si="1"/>
        <v>0</v>
      </c>
      <c r="J17" s="53">
        <f>I17/'Table 3 Levels 1&amp;2'!C20</f>
        <v>0</v>
      </c>
      <c r="K17" s="53">
        <f t="shared" si="2"/>
        <v>-368570.7511400003</v>
      </c>
      <c r="L17" s="609">
        <f t="shared" si="3"/>
        <v>1</v>
      </c>
      <c r="M17" s="864">
        <f>IF(I17&lt;0,0,(ROUND(D17*'Table 8 Membership, 2.1.09'!V17,0)*-1))</f>
        <v>0</v>
      </c>
      <c r="N17" s="9">
        <f t="shared" si="8"/>
        <v>0</v>
      </c>
      <c r="O17" s="274">
        <f t="shared" si="9"/>
        <v>0</v>
      </c>
      <c r="P17" s="302">
        <f t="shared" si="10"/>
        <v>0</v>
      </c>
      <c r="Q17" s="300">
        <f>'[11]City-Parish School Districts'!J20</f>
        <v>35116.094109919395</v>
      </c>
      <c r="R17" s="277">
        <f t="shared" si="11"/>
        <v>0</v>
      </c>
      <c r="S17" s="277"/>
      <c r="T17" s="567">
        <f t="shared" si="4"/>
        <v>0</v>
      </c>
      <c r="U17" s="667">
        <f t="shared" si="12"/>
        <v>0</v>
      </c>
      <c r="V17" s="306">
        <f>'[12]PEP Excluding State Employees08'!S22</f>
        <v>144.8832706480028</v>
      </c>
      <c r="W17" s="562">
        <f t="shared" si="5"/>
        <v>0</v>
      </c>
      <c r="Y17" s="728"/>
      <c r="Z17" s="444"/>
    </row>
    <row r="18" spans="1:26" ht="12.75">
      <c r="A18" s="404">
        <v>14</v>
      </c>
      <c r="B18" s="556" t="s">
        <v>315</v>
      </c>
      <c r="C18" s="548">
        <f>'Table 3 Levels 1&amp;2'!AG21</f>
        <v>13007537.33324</v>
      </c>
      <c r="D18" s="9">
        <f>C18/'Table 3 Levels 1&amp;2'!C21</f>
        <v>5822.532378352731</v>
      </c>
      <c r="E18" s="568">
        <f t="shared" si="6"/>
        <v>7</v>
      </c>
      <c r="F18" s="572">
        <f>'[6]Table 3 Levels 1&amp;2'!AG21</f>
        <v>13745104.792512</v>
      </c>
      <c r="G18" s="572">
        <f>'[6]Table 3 Levels 1&amp;2'!AH21</f>
        <v>5807</v>
      </c>
      <c r="H18" s="552">
        <f t="shared" si="7"/>
        <v>-737567.4592719991</v>
      </c>
      <c r="I18" s="561">
        <f t="shared" si="1"/>
        <v>0</v>
      </c>
      <c r="J18" s="53">
        <f>I18/'Table 3 Levels 1&amp;2'!C21</f>
        <v>0</v>
      </c>
      <c r="K18" s="53">
        <f t="shared" si="2"/>
        <v>-737567.4592719991</v>
      </c>
      <c r="L18" s="609">
        <f t="shared" si="3"/>
        <v>1</v>
      </c>
      <c r="M18" s="864">
        <f>IF(I18&lt;0,0,(ROUND(D18*'Table 8 Membership, 2.1.09'!V18,0)*-1))</f>
        <v>0</v>
      </c>
      <c r="N18" s="9">
        <f t="shared" si="8"/>
        <v>0</v>
      </c>
      <c r="O18" s="274">
        <f t="shared" si="9"/>
        <v>0</v>
      </c>
      <c r="P18" s="302">
        <f t="shared" si="10"/>
        <v>0</v>
      </c>
      <c r="Q18" s="300">
        <f>'[11]City-Parish School Districts'!J21</f>
        <v>41557.0131634621</v>
      </c>
      <c r="R18" s="277">
        <f t="shared" si="11"/>
        <v>0</v>
      </c>
      <c r="S18" s="277"/>
      <c r="T18" s="567">
        <f t="shared" si="4"/>
        <v>0</v>
      </c>
      <c r="U18" s="667">
        <f t="shared" si="12"/>
        <v>0</v>
      </c>
      <c r="V18" s="306">
        <f>'[12]PEP Excluding State Employees08'!S23</f>
        <v>223</v>
      </c>
      <c r="W18" s="562">
        <f t="shared" si="5"/>
        <v>0</v>
      </c>
      <c r="Y18" s="728"/>
      <c r="Z18" s="444"/>
    </row>
    <row r="19" spans="1:26" ht="12.75">
      <c r="A19" s="405">
        <v>15</v>
      </c>
      <c r="B19" s="557" t="s">
        <v>316</v>
      </c>
      <c r="C19" s="549">
        <f>'Table 3 Levels 1&amp;2'!AG22</f>
        <v>19537827.835284002</v>
      </c>
      <c r="D19" s="86">
        <f>C19/'Table 3 Levels 1&amp;2'!C22</f>
        <v>5221.226038290754</v>
      </c>
      <c r="E19" s="573">
        <f t="shared" si="6"/>
        <v>28</v>
      </c>
      <c r="F19" s="574">
        <f>'[6]Table 3 Levels 1&amp;2'!AG22</f>
        <v>20387258.54416</v>
      </c>
      <c r="G19" s="575">
        <f>'[6]Table 3 Levels 1&amp;2'!AH22</f>
        <v>5244</v>
      </c>
      <c r="H19" s="553">
        <f t="shared" si="7"/>
        <v>-849430.7088759989</v>
      </c>
      <c r="I19" s="563">
        <f t="shared" si="1"/>
        <v>0</v>
      </c>
      <c r="J19" s="150">
        <f>I19/'Table 3 Levels 1&amp;2'!C22</f>
        <v>0</v>
      </c>
      <c r="K19" s="150">
        <f t="shared" si="2"/>
        <v>-849430.7088759989</v>
      </c>
      <c r="L19" s="610">
        <f t="shared" si="3"/>
        <v>1</v>
      </c>
      <c r="M19" s="865">
        <f>IF(I19&lt;0,0,(ROUND(D19*'Table 8 Membership, 2.1.09'!V19,0)*-1))</f>
        <v>0</v>
      </c>
      <c r="N19" s="86">
        <f t="shared" si="8"/>
        <v>0</v>
      </c>
      <c r="O19" s="275">
        <f t="shared" si="9"/>
        <v>0</v>
      </c>
      <c r="P19" s="303">
        <f t="shared" si="10"/>
        <v>0</v>
      </c>
      <c r="Q19" s="301">
        <f>'[11]City-Parish School Districts'!J22</f>
        <v>40508.340917423615</v>
      </c>
      <c r="R19" s="278">
        <f t="shared" si="11"/>
        <v>0</v>
      </c>
      <c r="S19" s="278"/>
      <c r="T19" s="569">
        <f t="shared" si="4"/>
        <v>0</v>
      </c>
      <c r="U19" s="668">
        <f t="shared" si="12"/>
        <v>0</v>
      </c>
      <c r="V19" s="307">
        <f>'[12]PEP Excluding State Employees08'!S24</f>
        <v>340.8524152191895</v>
      </c>
      <c r="W19" s="564">
        <f t="shared" si="5"/>
        <v>0</v>
      </c>
      <c r="Y19" s="728"/>
      <c r="Z19" s="444"/>
    </row>
    <row r="20" spans="1:26" ht="12.75">
      <c r="A20" s="404">
        <v>16</v>
      </c>
      <c r="B20" s="556" t="s">
        <v>317</v>
      </c>
      <c r="C20" s="548">
        <f>'Table 3 Levels 1&amp;2'!AG23</f>
        <v>19016747.543865602</v>
      </c>
      <c r="D20" s="9">
        <f>C20/'Table 3 Levels 1&amp;2'!C23</f>
        <v>4143.082253565491</v>
      </c>
      <c r="E20" s="568">
        <f t="shared" si="6"/>
        <v>47</v>
      </c>
      <c r="F20" s="572">
        <f>'[6]Table 3 Levels 1&amp;2'!AG23</f>
        <v>21450626.200348</v>
      </c>
      <c r="G20" s="572">
        <f>'[6]Table 3 Levels 1&amp;2'!AH23</f>
        <v>4633</v>
      </c>
      <c r="H20" s="552">
        <f t="shared" si="7"/>
        <v>-2433878.6564823985</v>
      </c>
      <c r="I20" s="561">
        <f t="shared" si="1"/>
        <v>0</v>
      </c>
      <c r="J20" s="53">
        <f>I20/'Table 3 Levels 1&amp;2'!C23</f>
        <v>0</v>
      </c>
      <c r="K20" s="53">
        <f t="shared" si="2"/>
        <v>-2433878.6564823985</v>
      </c>
      <c r="L20" s="609">
        <f t="shared" si="3"/>
        <v>1</v>
      </c>
      <c r="M20" s="864">
        <f>IF(I20&lt;0,0,(ROUND(D20*'Table 8 Membership, 2.1.09'!V20,0)*-1))</f>
        <v>0</v>
      </c>
      <c r="N20" s="9">
        <f t="shared" si="8"/>
        <v>0</v>
      </c>
      <c r="O20" s="274">
        <f t="shared" si="9"/>
        <v>0</v>
      </c>
      <c r="P20" s="302">
        <f t="shared" si="10"/>
        <v>0</v>
      </c>
      <c r="Q20" s="497">
        <f>'[11]City-Parish School Districts'!J23</f>
        <v>52627.860422848156</v>
      </c>
      <c r="R20" s="277">
        <f t="shared" si="11"/>
        <v>0</v>
      </c>
      <c r="S20" s="277"/>
      <c r="T20" s="567">
        <f t="shared" si="4"/>
        <v>0</v>
      </c>
      <c r="U20" s="667">
        <f t="shared" si="12"/>
        <v>0</v>
      </c>
      <c r="V20" s="306">
        <f>'[12]PEP Excluding State Employees08'!S25</f>
        <v>433.6</v>
      </c>
      <c r="W20" s="562">
        <f t="shared" si="5"/>
        <v>0</v>
      </c>
      <c r="Y20" s="728"/>
      <c r="Z20" s="444"/>
    </row>
    <row r="21" spans="1:26" ht="12.75">
      <c r="A21" s="404">
        <v>17</v>
      </c>
      <c r="B21" s="556" t="s">
        <v>318</v>
      </c>
      <c r="C21" s="548">
        <f>'Table 3 Levels 1&amp;2'!AG24</f>
        <v>113086690.64122319</v>
      </c>
      <c r="D21" s="9">
        <f>C21/'Table 3 Levels 1&amp;2'!C24</f>
        <v>2635.9305076971514</v>
      </c>
      <c r="E21" s="568">
        <f t="shared" si="6"/>
        <v>62</v>
      </c>
      <c r="F21" s="572">
        <f>'[6]Table 3 Levels 1&amp;2'!AG24</f>
        <v>112084878.08642401</v>
      </c>
      <c r="G21" s="576">
        <f>'[6]Table 3 Levels 1&amp;2'!AH24</f>
        <v>2612</v>
      </c>
      <c r="H21" s="552">
        <f t="shared" si="7"/>
        <v>1001812.5547991842</v>
      </c>
      <c r="I21" s="561">
        <f t="shared" si="1"/>
        <v>1001812.5547991842</v>
      </c>
      <c r="J21" s="53">
        <f>I21/'Table 3 Levels 1&amp;2'!C24</f>
        <v>23.351185371292345</v>
      </c>
      <c r="K21" s="53">
        <f t="shared" si="2"/>
        <v>0</v>
      </c>
      <c r="L21" s="609">
        <f t="shared" si="3"/>
        <v>0</v>
      </c>
      <c r="M21" s="864">
        <f>IF(I21&lt;0,0,(ROUND(D21*'Table 8 Membership, 2.1.09'!V21,0)*-1))</f>
        <v>0</v>
      </c>
      <c r="N21" s="9">
        <f t="shared" si="8"/>
        <v>1001812.5547991842</v>
      </c>
      <c r="O21" s="274">
        <f t="shared" si="9"/>
        <v>1</v>
      </c>
      <c r="P21" s="302">
        <f t="shared" si="10"/>
        <v>500906</v>
      </c>
      <c r="Q21" s="497">
        <f>'[11]City-Parish School Districts'!J24</f>
        <v>50819.89161714989</v>
      </c>
      <c r="R21" s="277">
        <f t="shared" si="11"/>
        <v>0</v>
      </c>
      <c r="S21" s="277"/>
      <c r="T21" s="567">
        <f t="shared" si="4"/>
        <v>0</v>
      </c>
      <c r="U21" s="667">
        <f t="shared" si="12"/>
        <v>0</v>
      </c>
      <c r="V21" s="861">
        <f>'[12]PEP Excluding State Employees08'!S26</f>
        <v>4057.553631820766</v>
      </c>
      <c r="W21" s="862">
        <f t="shared" si="5"/>
        <v>0</v>
      </c>
      <c r="Y21" s="728"/>
      <c r="Z21" s="444"/>
    </row>
    <row r="22" spans="1:26" ht="12.75">
      <c r="A22" s="404">
        <v>18</v>
      </c>
      <c r="B22" s="556" t="s">
        <v>319</v>
      </c>
      <c r="C22" s="548">
        <f>'Table 3 Levels 1&amp;2'!AG25</f>
        <v>7554453.814396</v>
      </c>
      <c r="D22" s="9">
        <f>C22/'Table 3 Levels 1&amp;2'!C25</f>
        <v>5701.474576902641</v>
      </c>
      <c r="E22" s="568">
        <f t="shared" si="6"/>
        <v>10</v>
      </c>
      <c r="F22" s="572">
        <f>'[6]Table 3 Levels 1&amp;2'!AG25</f>
        <v>7806618.24016</v>
      </c>
      <c r="G22" s="572">
        <f>'[6]Table 3 Levels 1&amp;2'!AH25</f>
        <v>5761</v>
      </c>
      <c r="H22" s="552">
        <f t="shared" si="7"/>
        <v>-252164.42576400004</v>
      </c>
      <c r="I22" s="561">
        <f t="shared" si="1"/>
        <v>0</v>
      </c>
      <c r="J22" s="53">
        <f>I22/'Table 3 Levels 1&amp;2'!C25</f>
        <v>0</v>
      </c>
      <c r="K22" s="53">
        <f t="shared" si="2"/>
        <v>-252164.42576400004</v>
      </c>
      <c r="L22" s="609">
        <f t="shared" si="3"/>
        <v>1</v>
      </c>
      <c r="M22" s="864">
        <f>IF(I22&lt;0,0,(ROUND(D22*'Table 8 Membership, 2.1.09'!V22,0)*-1))</f>
        <v>0</v>
      </c>
      <c r="N22" s="9">
        <f t="shared" si="8"/>
        <v>0</v>
      </c>
      <c r="O22" s="274">
        <f t="shared" si="9"/>
        <v>0</v>
      </c>
      <c r="P22" s="302">
        <f t="shared" si="10"/>
        <v>0</v>
      </c>
      <c r="Q22" s="300">
        <f>'[11]City-Parish School Districts'!J25</f>
        <v>39246.32835820896</v>
      </c>
      <c r="R22" s="277">
        <f t="shared" si="11"/>
        <v>0</v>
      </c>
      <c r="S22" s="277"/>
      <c r="T22" s="567">
        <f t="shared" si="4"/>
        <v>0</v>
      </c>
      <c r="U22" s="667">
        <f t="shared" si="12"/>
        <v>0</v>
      </c>
      <c r="V22" s="306">
        <f>'[12]PEP Excluding State Employees08'!S27</f>
        <v>130.12976175256853</v>
      </c>
      <c r="W22" s="562">
        <f t="shared" si="5"/>
        <v>0</v>
      </c>
      <c r="Y22" s="728"/>
      <c r="Z22" s="444"/>
    </row>
    <row r="23" spans="1:26" ht="12.75">
      <c r="A23" s="404">
        <v>19</v>
      </c>
      <c r="B23" s="556" t="s">
        <v>320</v>
      </c>
      <c r="C23" s="548">
        <f>'Table 3 Levels 1&amp;2'!AG26</f>
        <v>10891259.36126</v>
      </c>
      <c r="D23" s="9">
        <f>C23/'Table 3 Levels 1&amp;2'!C26</f>
        <v>5188.78483147213</v>
      </c>
      <c r="E23" s="568">
        <f t="shared" si="6"/>
        <v>29</v>
      </c>
      <c r="F23" s="572">
        <f>'[6]Table 3 Levels 1&amp;2'!AG26</f>
        <v>11197740.12576</v>
      </c>
      <c r="G23" s="572">
        <f>'[6]Table 3 Levels 1&amp;2'!AH26</f>
        <v>5196</v>
      </c>
      <c r="H23" s="552">
        <f t="shared" si="7"/>
        <v>-306480.7644999996</v>
      </c>
      <c r="I23" s="561">
        <f t="shared" si="1"/>
        <v>0</v>
      </c>
      <c r="J23" s="53">
        <f>I23/'Table 3 Levels 1&amp;2'!C26</f>
        <v>0</v>
      </c>
      <c r="K23" s="53">
        <f t="shared" si="2"/>
        <v>-306480.7644999996</v>
      </c>
      <c r="L23" s="609">
        <f t="shared" si="3"/>
        <v>1</v>
      </c>
      <c r="M23" s="864">
        <f>IF(I23&lt;0,0,(ROUND(D23*'Table 8 Membership, 2.1.09'!V23,0)*-1))</f>
        <v>0</v>
      </c>
      <c r="N23" s="9">
        <f t="shared" si="8"/>
        <v>0</v>
      </c>
      <c r="O23" s="274">
        <f t="shared" si="9"/>
        <v>0</v>
      </c>
      <c r="P23" s="302">
        <f t="shared" si="10"/>
        <v>0</v>
      </c>
      <c r="Q23" s="300">
        <f>'[11]City-Parish School Districts'!J26</f>
        <v>40634.183900069394</v>
      </c>
      <c r="R23" s="277">
        <f t="shared" si="11"/>
        <v>0</v>
      </c>
      <c r="S23" s="277"/>
      <c r="T23" s="567">
        <f t="shared" si="4"/>
        <v>0</v>
      </c>
      <c r="U23" s="667">
        <f t="shared" si="12"/>
        <v>0</v>
      </c>
      <c r="V23" s="306">
        <f>'[12]PEP Excluding State Employees08'!S28</f>
        <v>210.6474358974359</v>
      </c>
      <c r="W23" s="562">
        <f t="shared" si="5"/>
        <v>0</v>
      </c>
      <c r="Y23" s="728"/>
      <c r="Z23" s="444"/>
    </row>
    <row r="24" spans="1:26" ht="12.75">
      <c r="A24" s="405">
        <v>20</v>
      </c>
      <c r="B24" s="557" t="s">
        <v>321</v>
      </c>
      <c r="C24" s="549">
        <f>'Table 3 Levels 1&amp;2'!AG27</f>
        <v>30617978.079072</v>
      </c>
      <c r="D24" s="86">
        <f>C24/'Table 3 Levels 1&amp;2'!C27</f>
        <v>5402.854787201693</v>
      </c>
      <c r="E24" s="573">
        <f t="shared" si="6"/>
        <v>22</v>
      </c>
      <c r="F24" s="574">
        <f>'[6]Table 3 Levels 1&amp;2'!AG27</f>
        <v>31616163.90514</v>
      </c>
      <c r="G24" s="575">
        <f>'[6]Table 3 Levels 1&amp;2'!AH27</f>
        <v>5451</v>
      </c>
      <c r="H24" s="553">
        <f t="shared" si="7"/>
        <v>-998185.8260680027</v>
      </c>
      <c r="I24" s="563">
        <f t="shared" si="1"/>
        <v>0</v>
      </c>
      <c r="J24" s="150">
        <f>I24/'Table 3 Levels 1&amp;2'!C27</f>
        <v>0</v>
      </c>
      <c r="K24" s="150">
        <f t="shared" si="2"/>
        <v>-998185.8260680027</v>
      </c>
      <c r="L24" s="610">
        <f t="shared" si="3"/>
        <v>1</v>
      </c>
      <c r="M24" s="865">
        <f>IF(I24&lt;0,0,(ROUND(D24*'Table 8 Membership, 2.1.09'!V24,0)*-1))</f>
        <v>0</v>
      </c>
      <c r="N24" s="86">
        <f t="shared" si="8"/>
        <v>0</v>
      </c>
      <c r="O24" s="275">
        <f t="shared" si="9"/>
        <v>0</v>
      </c>
      <c r="P24" s="303">
        <f t="shared" si="10"/>
        <v>0</v>
      </c>
      <c r="Q24" s="301">
        <f>'[11]City-Parish School Districts'!J27</f>
        <v>43851.029780033845</v>
      </c>
      <c r="R24" s="278">
        <f t="shared" si="11"/>
        <v>0</v>
      </c>
      <c r="S24" s="278"/>
      <c r="T24" s="569">
        <f t="shared" si="4"/>
        <v>0</v>
      </c>
      <c r="U24" s="668">
        <f t="shared" si="12"/>
        <v>0</v>
      </c>
      <c r="V24" s="307">
        <f>'[12]PEP Excluding State Employees08'!S29</f>
        <v>547.1428571428571</v>
      </c>
      <c r="W24" s="564">
        <f t="shared" si="5"/>
        <v>0</v>
      </c>
      <c r="Y24" s="728"/>
      <c r="Z24" s="444"/>
    </row>
    <row r="25" spans="1:26" ht="12.75">
      <c r="A25" s="404">
        <v>21</v>
      </c>
      <c r="B25" s="556" t="s">
        <v>322</v>
      </c>
      <c r="C25" s="548">
        <f>'Table 3 Levels 1&amp;2'!AG28</f>
        <v>16232874.113328</v>
      </c>
      <c r="D25" s="9">
        <f>C25/'Table 3 Levels 1&amp;2'!C28</f>
        <v>5405.552485290709</v>
      </c>
      <c r="E25" s="568">
        <f t="shared" si="6"/>
        <v>21</v>
      </c>
      <c r="F25" s="572">
        <f>'[6]Table 3 Levels 1&amp;2'!AG28</f>
        <v>15441169.240416</v>
      </c>
      <c r="G25" s="572">
        <f>'[6]Table 3 Levels 1&amp;2'!AH28</f>
        <v>4904</v>
      </c>
      <c r="H25" s="552">
        <f t="shared" si="7"/>
        <v>791704.8729120009</v>
      </c>
      <c r="I25" s="561">
        <f t="shared" si="1"/>
        <v>791704.8729120009</v>
      </c>
      <c r="J25" s="53">
        <f>I25/'Table 3 Levels 1&amp;2'!C28</f>
        <v>263.6379863176826</v>
      </c>
      <c r="K25" s="53">
        <f t="shared" si="2"/>
        <v>0</v>
      </c>
      <c r="L25" s="609">
        <f t="shared" si="3"/>
        <v>0</v>
      </c>
      <c r="M25" s="864">
        <f>IF(I25&lt;0,0,(ROUND(D25*'Table 8 Membership, 2.1.09'!V25,0)*-1))</f>
        <v>0</v>
      </c>
      <c r="N25" s="9">
        <f t="shared" si="8"/>
        <v>791704.8729120009</v>
      </c>
      <c r="O25" s="274">
        <f t="shared" si="9"/>
        <v>1</v>
      </c>
      <c r="P25" s="302">
        <f t="shared" si="10"/>
        <v>395852</v>
      </c>
      <c r="Q25" s="300">
        <f>'[11]City-Parish School Districts'!J28</f>
        <v>35818.5191365339</v>
      </c>
      <c r="R25" s="277">
        <f t="shared" si="11"/>
        <v>395852</v>
      </c>
      <c r="S25" s="277"/>
      <c r="T25" s="567">
        <f t="shared" si="4"/>
        <v>1</v>
      </c>
      <c r="U25" s="667">
        <f t="shared" si="12"/>
        <v>338480</v>
      </c>
      <c r="V25" s="306">
        <f>'[12]PEP Excluding State Employees08'!S30</f>
        <v>268.73837662337655</v>
      </c>
      <c r="W25" s="562">
        <f t="shared" si="5"/>
        <v>1260</v>
      </c>
      <c r="Y25" s="728"/>
      <c r="Z25" s="444"/>
    </row>
    <row r="26" spans="1:26" ht="12.75">
      <c r="A26" s="404">
        <v>22</v>
      </c>
      <c r="B26" s="556" t="s">
        <v>323</v>
      </c>
      <c r="C26" s="548">
        <f>'Table 3 Levels 1&amp;2'!AG29</f>
        <v>19101848.256512</v>
      </c>
      <c r="D26" s="9">
        <f>C26/'Table 3 Levels 1&amp;2'!C29</f>
        <v>5644.754212917258</v>
      </c>
      <c r="E26" s="568">
        <f t="shared" si="6"/>
        <v>11</v>
      </c>
      <c r="F26" s="572">
        <f>'[6]Table 3 Levels 1&amp;2'!AG29</f>
        <v>19079606.21854</v>
      </c>
      <c r="G26" s="572">
        <f>'[6]Table 3 Levels 1&amp;2'!AH29</f>
        <v>5613</v>
      </c>
      <c r="H26" s="552">
        <f t="shared" si="7"/>
        <v>22242.037971999496</v>
      </c>
      <c r="I26" s="561">
        <f t="shared" si="1"/>
        <v>22242.037971999496</v>
      </c>
      <c r="J26" s="53">
        <f>I26/'Table 3 Levels 1&amp;2'!C29</f>
        <v>6.572706256501033</v>
      </c>
      <c r="K26" s="53">
        <f t="shared" si="2"/>
        <v>0</v>
      </c>
      <c r="L26" s="609">
        <f t="shared" si="3"/>
        <v>0</v>
      </c>
      <c r="M26" s="864">
        <f>IF(I26&lt;0,0,(ROUND(D26*'Table 8 Membership, 2.1.09'!V26,0)*-1))</f>
        <v>0</v>
      </c>
      <c r="N26" s="9">
        <f t="shared" si="8"/>
        <v>22242.037971999496</v>
      </c>
      <c r="O26" s="274">
        <f t="shared" si="9"/>
        <v>1</v>
      </c>
      <c r="P26" s="302">
        <f t="shared" si="10"/>
        <v>11121</v>
      </c>
      <c r="Q26" s="300">
        <f>'[11]City-Parish School Districts'!J29</f>
        <v>41324.603222180594</v>
      </c>
      <c r="R26" s="277">
        <f t="shared" si="11"/>
        <v>11121</v>
      </c>
      <c r="S26" s="277"/>
      <c r="T26" s="567">
        <f t="shared" si="4"/>
        <v>1</v>
      </c>
      <c r="U26" s="667">
        <f t="shared" si="12"/>
        <v>9509</v>
      </c>
      <c r="V26" s="306">
        <f>'[12]PEP Excluding State Employees08'!S31</f>
        <v>271.91666666666663</v>
      </c>
      <c r="W26" s="562">
        <f t="shared" si="5"/>
        <v>35</v>
      </c>
      <c r="Y26" s="728"/>
      <c r="Z26" s="444"/>
    </row>
    <row r="27" spans="1:26" ht="12.75">
      <c r="A27" s="404">
        <v>23</v>
      </c>
      <c r="B27" s="556" t="s">
        <v>324</v>
      </c>
      <c r="C27" s="548">
        <f>'Table 3 Levels 1&amp;2'!AG30</f>
        <v>62862024.21598</v>
      </c>
      <c r="D27" s="9">
        <f>C27/'Table 3 Levels 1&amp;2'!C30</f>
        <v>4714.769685440636</v>
      </c>
      <c r="E27" s="568">
        <f t="shared" si="6"/>
        <v>36</v>
      </c>
      <c r="F27" s="572">
        <f>'[6]Table 3 Levels 1&amp;2'!AG30</f>
        <v>64034688.179143995</v>
      </c>
      <c r="G27" s="572">
        <f>'[6]Table 3 Levels 1&amp;2'!AH30</f>
        <v>4765</v>
      </c>
      <c r="H27" s="552">
        <f t="shared" si="7"/>
        <v>-1172663.9631639943</v>
      </c>
      <c r="I27" s="561">
        <f t="shared" si="1"/>
        <v>0</v>
      </c>
      <c r="J27" s="53">
        <f>I27/'Table 3 Levels 1&amp;2'!C30</f>
        <v>0</v>
      </c>
      <c r="K27" s="53">
        <f t="shared" si="2"/>
        <v>-1172663.9631639943</v>
      </c>
      <c r="L27" s="609">
        <f t="shared" si="3"/>
        <v>1</v>
      </c>
      <c r="M27" s="864">
        <f>IF(I27&lt;0,0,(ROUND(D27*'Table 8 Membership, 2.1.09'!V27,0)*-1))</f>
        <v>0</v>
      </c>
      <c r="N27" s="9">
        <f t="shared" si="8"/>
        <v>0</v>
      </c>
      <c r="O27" s="274">
        <f t="shared" si="9"/>
        <v>0</v>
      </c>
      <c r="P27" s="302">
        <f t="shared" si="10"/>
        <v>0</v>
      </c>
      <c r="Q27" s="497">
        <f>'[11]City-Parish School Districts'!J30</f>
        <v>48243.22177822178</v>
      </c>
      <c r="R27" s="277">
        <f t="shared" si="11"/>
        <v>0</v>
      </c>
      <c r="S27" s="277"/>
      <c r="T27" s="567">
        <f t="shared" si="4"/>
        <v>0</v>
      </c>
      <c r="U27" s="667">
        <f t="shared" si="12"/>
        <v>0</v>
      </c>
      <c r="V27" s="306">
        <f>'[12]PEP Excluding State Employees08'!S32</f>
        <v>1239.490099009901</v>
      </c>
      <c r="W27" s="562">
        <f t="shared" si="5"/>
        <v>0</v>
      </c>
      <c r="Y27" s="728"/>
      <c r="Z27" s="444"/>
    </row>
    <row r="28" spans="1:26" ht="12.75">
      <c r="A28" s="404">
        <v>24</v>
      </c>
      <c r="B28" s="556" t="s">
        <v>325</v>
      </c>
      <c r="C28" s="548">
        <f>'Table 3 Levels 1&amp;2'!AG31</f>
        <v>9892997</v>
      </c>
      <c r="D28" s="9">
        <f>C28/'Table 3 Levels 1&amp;2'!C31</f>
        <v>2390.190142546509</v>
      </c>
      <c r="E28" s="568">
        <f t="shared" si="6"/>
        <v>66</v>
      </c>
      <c r="F28" s="572">
        <f>'[6]Table 3 Levels 1&amp;2'!AG31</f>
        <v>10024318.537386399</v>
      </c>
      <c r="G28" s="572">
        <f>'[6]Table 3 Levels 1&amp;2'!AH31</f>
        <v>2484</v>
      </c>
      <c r="H28" s="552">
        <f t="shared" si="7"/>
        <v>-131321.53738639876</v>
      </c>
      <c r="I28" s="561">
        <f t="shared" si="1"/>
        <v>0</v>
      </c>
      <c r="J28" s="53">
        <f>I28/'Table 3 Levels 1&amp;2'!C31</f>
        <v>0</v>
      </c>
      <c r="K28" s="53">
        <f t="shared" si="2"/>
        <v>-131321.53738639876</v>
      </c>
      <c r="L28" s="609">
        <f t="shared" si="3"/>
        <v>1</v>
      </c>
      <c r="M28" s="864">
        <f>IF(I28&lt;0,0,(ROUND(D28*'Table 8 Membership, 2.1.09'!V28,0)*-1))</f>
        <v>-248580</v>
      </c>
      <c r="N28" s="9">
        <f t="shared" si="8"/>
        <v>0</v>
      </c>
      <c r="O28" s="274">
        <f t="shared" si="9"/>
        <v>0</v>
      </c>
      <c r="P28" s="302">
        <f t="shared" si="10"/>
        <v>0</v>
      </c>
      <c r="Q28" s="497">
        <f>'[11]City-Parish School Districts'!J31</f>
        <v>54494.788856304986</v>
      </c>
      <c r="R28" s="277">
        <f t="shared" si="11"/>
        <v>0</v>
      </c>
      <c r="S28" s="277"/>
      <c r="T28" s="567">
        <f t="shared" si="4"/>
        <v>0</v>
      </c>
      <c r="U28" s="667">
        <f t="shared" si="12"/>
        <v>0</v>
      </c>
      <c r="V28" s="306">
        <f>'[12]PEP Excluding State Employees08'!S33</f>
        <v>430</v>
      </c>
      <c r="W28" s="562">
        <f t="shared" si="5"/>
        <v>0</v>
      </c>
      <c r="Y28" s="728"/>
      <c r="Z28" s="444"/>
    </row>
    <row r="29" spans="1:26" ht="12.75">
      <c r="A29" s="405">
        <v>25</v>
      </c>
      <c r="B29" s="557" t="s">
        <v>326</v>
      </c>
      <c r="C29" s="549">
        <f>'Table 3 Levels 1&amp;2'!AG32</f>
        <v>8430954.7953344</v>
      </c>
      <c r="D29" s="86">
        <f>C29/'Table 3 Levels 1&amp;2'!C32</f>
        <v>3846.238501521168</v>
      </c>
      <c r="E29" s="573">
        <f t="shared" si="6"/>
        <v>54</v>
      </c>
      <c r="F29" s="574">
        <f>'[6]Table 3 Levels 1&amp;2'!AG32</f>
        <v>7863695.740693999</v>
      </c>
      <c r="G29" s="575">
        <f>'[6]Table 3 Levels 1&amp;2'!AH32</f>
        <v>3606</v>
      </c>
      <c r="H29" s="553">
        <f t="shared" si="7"/>
        <v>567259.0546404012</v>
      </c>
      <c r="I29" s="563">
        <f t="shared" si="1"/>
        <v>567259.0546404012</v>
      </c>
      <c r="J29" s="150">
        <f>I29/'Table 3 Levels 1&amp;2'!C32</f>
        <v>258.78606507317573</v>
      </c>
      <c r="K29" s="150">
        <f t="shared" si="2"/>
        <v>0</v>
      </c>
      <c r="L29" s="610">
        <f t="shared" si="3"/>
        <v>0</v>
      </c>
      <c r="M29" s="865">
        <f>IF(I29&lt;0,0,(ROUND(D29*'Table 8 Membership, 2.1.09'!V29,0)*-1))</f>
        <v>-46155</v>
      </c>
      <c r="N29" s="86">
        <f t="shared" si="8"/>
        <v>521104.05464040115</v>
      </c>
      <c r="O29" s="275">
        <f t="shared" si="9"/>
        <v>1</v>
      </c>
      <c r="P29" s="303">
        <f t="shared" si="10"/>
        <v>260552</v>
      </c>
      <c r="Q29" s="301">
        <f>'[11]City-Parish School Districts'!J32</f>
        <v>40273.85753854653</v>
      </c>
      <c r="R29" s="278">
        <f t="shared" si="11"/>
        <v>260552</v>
      </c>
      <c r="S29" s="278"/>
      <c r="T29" s="569">
        <f t="shared" si="4"/>
        <v>1</v>
      </c>
      <c r="U29" s="668">
        <f t="shared" si="12"/>
        <v>222789</v>
      </c>
      <c r="V29" s="307">
        <f>'[12]PEP Excluding State Employees08'!S34</f>
        <v>192.10273326210827</v>
      </c>
      <c r="W29" s="564">
        <f t="shared" si="5"/>
        <v>1160</v>
      </c>
      <c r="Y29" s="728"/>
      <c r="Z29" s="444"/>
    </row>
    <row r="30" spans="1:26" ht="12.75">
      <c r="A30" s="404">
        <v>26</v>
      </c>
      <c r="B30" s="556" t="s">
        <v>327</v>
      </c>
      <c r="C30" s="548">
        <f>'Table 3 Levels 1&amp;2'!AG33</f>
        <v>94462512</v>
      </c>
      <c r="D30" s="9">
        <f>C30/'Table 3 Levels 1&amp;2'!C33</f>
        <v>2260.4094759511845</v>
      </c>
      <c r="E30" s="568">
        <f t="shared" si="6"/>
        <v>67</v>
      </c>
      <c r="F30" s="572">
        <f>'[6]Table 3 Levels 1&amp;2'!AG33</f>
        <v>83625579</v>
      </c>
      <c r="G30" s="572">
        <f>'[6]Table 3 Levels 1&amp;2'!AH33</f>
        <v>2018</v>
      </c>
      <c r="H30" s="552">
        <f t="shared" si="7"/>
        <v>10836933</v>
      </c>
      <c r="I30" s="561">
        <f t="shared" si="1"/>
        <v>10836933</v>
      </c>
      <c r="J30" s="53">
        <f>I30/'Table 3 Levels 1&amp;2'!C33</f>
        <v>259.31880832735106</v>
      </c>
      <c r="K30" s="53">
        <f t="shared" si="2"/>
        <v>0</v>
      </c>
      <c r="L30" s="609">
        <f t="shared" si="3"/>
        <v>0</v>
      </c>
      <c r="M30" s="864">
        <f>IF(I30&lt;0,0,(ROUND(D30*'Table 8 Membership, 2.1.09'!V30,0)*-1))</f>
        <v>-759498</v>
      </c>
      <c r="N30" s="9">
        <f t="shared" si="8"/>
        <v>10077435</v>
      </c>
      <c r="O30" s="274">
        <f t="shared" si="9"/>
        <v>1</v>
      </c>
      <c r="P30" s="302">
        <f t="shared" si="10"/>
        <v>5038718</v>
      </c>
      <c r="Q30" s="497">
        <f>'[11]City-Parish School Districts'!J33</f>
        <v>49068.74538696165</v>
      </c>
      <c r="R30" s="277">
        <f t="shared" si="11"/>
        <v>0</v>
      </c>
      <c r="S30" s="277"/>
      <c r="T30" s="567">
        <f t="shared" si="4"/>
        <v>0</v>
      </c>
      <c r="U30" s="667">
        <f t="shared" si="12"/>
        <v>0</v>
      </c>
      <c r="V30" s="306">
        <f>'[12]PEP Excluding State Employees08'!S35</f>
        <v>3994.458857543001</v>
      </c>
      <c r="W30" s="562">
        <f t="shared" si="5"/>
        <v>0</v>
      </c>
      <c r="Y30" s="728"/>
      <c r="Z30" s="444"/>
    </row>
    <row r="31" spans="1:26" ht="12.75">
      <c r="A31" s="404">
        <v>27</v>
      </c>
      <c r="B31" s="556" t="s">
        <v>328</v>
      </c>
      <c r="C31" s="548">
        <f>'Table 3 Levels 1&amp;2'!AG34</f>
        <v>30849537.416</v>
      </c>
      <c r="D31" s="9">
        <f>C31/'Table 3 Levels 1&amp;2'!C34</f>
        <v>5532.556925394549</v>
      </c>
      <c r="E31" s="568">
        <f t="shared" si="6"/>
        <v>14</v>
      </c>
      <c r="F31" s="572">
        <f>'[6]Table 3 Levels 1&amp;2'!AG34</f>
        <v>30521849.122323997</v>
      </c>
      <c r="G31" s="572">
        <f>'[6]Table 3 Levels 1&amp;2'!AH34</f>
        <v>5507</v>
      </c>
      <c r="H31" s="552">
        <f t="shared" si="7"/>
        <v>327688.2936760038</v>
      </c>
      <c r="I31" s="561">
        <f t="shared" si="1"/>
        <v>327688.2936760038</v>
      </c>
      <c r="J31" s="53">
        <f>I31/'Table 3 Levels 1&amp;2'!C34</f>
        <v>58.767627990675</v>
      </c>
      <c r="K31" s="53">
        <f t="shared" si="2"/>
        <v>0</v>
      </c>
      <c r="L31" s="609">
        <f t="shared" si="3"/>
        <v>0</v>
      </c>
      <c r="M31" s="864">
        <f>IF(I31&lt;0,0,(ROUND(D31*'Table 8 Membership, 2.1.09'!V31,0)*-1))</f>
        <v>-182574</v>
      </c>
      <c r="N31" s="9">
        <f t="shared" si="8"/>
        <v>145114.2936760038</v>
      </c>
      <c r="O31" s="274">
        <f t="shared" si="9"/>
        <v>1</v>
      </c>
      <c r="P31" s="302">
        <f t="shared" si="10"/>
        <v>72557</v>
      </c>
      <c r="Q31" s="497">
        <f>'[11]City-Parish School Districts'!J34</f>
        <v>49044.4693877551</v>
      </c>
      <c r="R31" s="277">
        <f t="shared" si="11"/>
        <v>0</v>
      </c>
      <c r="S31" s="277"/>
      <c r="T31" s="567">
        <f t="shared" si="4"/>
        <v>0</v>
      </c>
      <c r="U31" s="667">
        <f t="shared" si="12"/>
        <v>0</v>
      </c>
      <c r="V31" s="306">
        <f>'[12]PEP Excluding State Employees08'!S36</f>
        <v>491</v>
      </c>
      <c r="W31" s="562">
        <f t="shared" si="5"/>
        <v>0</v>
      </c>
      <c r="Y31" s="728"/>
      <c r="Z31" s="444"/>
    </row>
    <row r="32" spans="1:26" ht="12.75">
      <c r="A32" s="404">
        <v>28</v>
      </c>
      <c r="B32" s="556" t="s">
        <v>329</v>
      </c>
      <c r="C32" s="548">
        <f>'Table 3 Levels 1&amp;2'!AG35</f>
        <v>88550888.0400764</v>
      </c>
      <c r="D32" s="9">
        <f>C32/'Table 3 Levels 1&amp;2'!C35</f>
        <v>3080.6738115807266</v>
      </c>
      <c r="E32" s="568">
        <f t="shared" si="6"/>
        <v>59</v>
      </c>
      <c r="F32" s="572">
        <f>'[6]Table 3 Levels 1&amp;2'!AG35</f>
        <v>90843679.726864</v>
      </c>
      <c r="G32" s="572">
        <f>'[6]Table 3 Levels 1&amp;2'!AH35</f>
        <v>3148</v>
      </c>
      <c r="H32" s="552">
        <f t="shared" si="7"/>
        <v>-2292791.6867875904</v>
      </c>
      <c r="I32" s="561">
        <f t="shared" si="1"/>
        <v>0</v>
      </c>
      <c r="J32" s="53">
        <f>I32/'Table 3 Levels 1&amp;2'!C35</f>
        <v>0</v>
      </c>
      <c r="K32" s="53">
        <f t="shared" si="2"/>
        <v>-2292791.6867875904</v>
      </c>
      <c r="L32" s="609">
        <f t="shared" si="3"/>
        <v>1</v>
      </c>
      <c r="M32" s="864">
        <f>IF(I32&lt;0,0,(ROUND(D32*'Table 8 Membership, 2.1.09'!V32,0)*-1))</f>
        <v>0</v>
      </c>
      <c r="N32" s="9">
        <f t="shared" si="8"/>
        <v>0</v>
      </c>
      <c r="O32" s="274">
        <f t="shared" si="9"/>
        <v>0</v>
      </c>
      <c r="P32" s="302">
        <f t="shared" si="10"/>
        <v>0</v>
      </c>
      <c r="Q32" s="497">
        <f>'[11]City-Parish School Districts'!J35</f>
        <v>48475.27866591656</v>
      </c>
      <c r="R32" s="277">
        <f t="shared" si="11"/>
        <v>0</v>
      </c>
      <c r="S32" s="277"/>
      <c r="T32" s="567">
        <f t="shared" si="4"/>
        <v>0</v>
      </c>
      <c r="U32" s="667">
        <f t="shared" si="12"/>
        <v>0</v>
      </c>
      <c r="V32" s="306">
        <f>'[12]PEP Excluding State Employees08'!S37</f>
        <v>2642.501308215594</v>
      </c>
      <c r="W32" s="562">
        <f t="shared" si="5"/>
        <v>0</v>
      </c>
      <c r="Y32" s="728"/>
      <c r="Z32" s="444"/>
    </row>
    <row r="33" spans="1:26" ht="12.75">
      <c r="A33" s="404">
        <v>29</v>
      </c>
      <c r="B33" s="556" t="s">
        <v>330</v>
      </c>
      <c r="C33" s="548">
        <f>'Table 3 Levels 1&amp;2'!AG36</f>
        <v>56821178.63854</v>
      </c>
      <c r="D33" s="9">
        <f>C33/'Table 3 Levels 1&amp;2'!C36</f>
        <v>4149.348520413319</v>
      </c>
      <c r="E33" s="568">
        <f t="shared" si="6"/>
        <v>46</v>
      </c>
      <c r="F33" s="572">
        <f>'[6]Table 3 Levels 1&amp;2'!AG36</f>
        <v>58707745.4064116</v>
      </c>
      <c r="G33" s="572">
        <f>'[6]Table 3 Levels 1&amp;2'!AH36</f>
        <v>4231</v>
      </c>
      <c r="H33" s="552">
        <f t="shared" si="7"/>
        <v>-1886566.7678716034</v>
      </c>
      <c r="I33" s="561">
        <f t="shared" si="1"/>
        <v>0</v>
      </c>
      <c r="J33" s="53">
        <f>I33/'Table 3 Levels 1&amp;2'!C36</f>
        <v>0</v>
      </c>
      <c r="K33" s="53">
        <f t="shared" si="2"/>
        <v>-1886566.7678716034</v>
      </c>
      <c r="L33" s="609">
        <f t="shared" si="3"/>
        <v>1</v>
      </c>
      <c r="M33" s="864">
        <f>IF(I33&lt;0,0,(ROUND(D33*'Table 8 Membership, 2.1.09'!V33,0)*-1))</f>
        <v>0</v>
      </c>
      <c r="N33" s="9">
        <f t="shared" si="8"/>
        <v>0</v>
      </c>
      <c r="O33" s="274">
        <f t="shared" si="9"/>
        <v>0</v>
      </c>
      <c r="P33" s="302">
        <f t="shared" si="10"/>
        <v>0</v>
      </c>
      <c r="Q33" s="300">
        <f>'[11]City-Parish School Districts'!J36</f>
        <v>44793.01297614508</v>
      </c>
      <c r="R33" s="277">
        <f t="shared" si="11"/>
        <v>0</v>
      </c>
      <c r="S33" s="277"/>
      <c r="T33" s="567">
        <f t="shared" si="4"/>
        <v>0</v>
      </c>
      <c r="U33" s="667">
        <f t="shared" si="12"/>
        <v>0</v>
      </c>
      <c r="V33" s="306">
        <f>'[12]PEP Excluding State Employees08'!S38</f>
        <v>1334.7005172435545</v>
      </c>
      <c r="W33" s="562">
        <f t="shared" si="5"/>
        <v>0</v>
      </c>
      <c r="Y33" s="728"/>
      <c r="Z33" s="444"/>
    </row>
    <row r="34" spans="1:26" ht="12.75">
      <c r="A34" s="405">
        <v>30</v>
      </c>
      <c r="B34" s="557" t="s">
        <v>331</v>
      </c>
      <c r="C34" s="549">
        <f>'Table 3 Levels 1&amp;2'!AG37</f>
        <v>13012087.3389</v>
      </c>
      <c r="D34" s="86">
        <f>C34/'Table 3 Levels 1&amp;2'!C37</f>
        <v>5345.9685040673785</v>
      </c>
      <c r="E34" s="573">
        <f t="shared" si="6"/>
        <v>23</v>
      </c>
      <c r="F34" s="574">
        <f>'[6]Table 3 Levels 1&amp;2'!AG37</f>
        <v>13068184.182448</v>
      </c>
      <c r="G34" s="575">
        <f>'[6]Table 3 Levels 1&amp;2'!AH37</f>
        <v>5286</v>
      </c>
      <c r="H34" s="553">
        <f t="shared" si="7"/>
        <v>-56096.84354799986</v>
      </c>
      <c r="I34" s="563">
        <f t="shared" si="1"/>
        <v>0</v>
      </c>
      <c r="J34" s="150">
        <f>I34/'Table 3 Levels 1&amp;2'!C37</f>
        <v>0</v>
      </c>
      <c r="K34" s="150">
        <f t="shared" si="2"/>
        <v>-56096.84354799986</v>
      </c>
      <c r="L34" s="610">
        <f t="shared" si="3"/>
        <v>1</v>
      </c>
      <c r="M34" s="865">
        <f>IF(I34&lt;0,0,(ROUND(D34*'Table 8 Membership, 2.1.09'!V34,0)*-1))</f>
        <v>0</v>
      </c>
      <c r="N34" s="86">
        <f t="shared" si="8"/>
        <v>0</v>
      </c>
      <c r="O34" s="275">
        <f t="shared" si="9"/>
        <v>0</v>
      </c>
      <c r="P34" s="303">
        <f t="shared" si="10"/>
        <v>0</v>
      </c>
      <c r="Q34" s="301">
        <f>'[11]City-Parish School Districts'!J37</f>
        <v>40221.97488373545</v>
      </c>
      <c r="R34" s="278">
        <f t="shared" si="11"/>
        <v>0</v>
      </c>
      <c r="S34" s="278"/>
      <c r="T34" s="569">
        <f t="shared" si="4"/>
        <v>0</v>
      </c>
      <c r="U34" s="668">
        <f t="shared" si="12"/>
        <v>0</v>
      </c>
      <c r="V34" s="307">
        <f>'[12]PEP Excluding State Employees08'!S39</f>
        <v>225.3333974358974</v>
      </c>
      <c r="W34" s="564">
        <f t="shared" si="5"/>
        <v>0</v>
      </c>
      <c r="Y34" s="728"/>
      <c r="Z34" s="444"/>
    </row>
    <row r="35" spans="1:26" ht="12.75">
      <c r="A35" s="404">
        <v>31</v>
      </c>
      <c r="B35" s="556" t="s">
        <v>332</v>
      </c>
      <c r="C35" s="548">
        <f>'Table 3 Levels 1&amp;2'!AG38</f>
        <v>26715948.3775816</v>
      </c>
      <c r="D35" s="9">
        <f>C35/'Table 3 Levels 1&amp;2'!C38</f>
        <v>4083.134399752652</v>
      </c>
      <c r="E35" s="568">
        <f t="shared" si="6"/>
        <v>49</v>
      </c>
      <c r="F35" s="572">
        <f>'[6]Table 3 Levels 1&amp;2'!AG38</f>
        <v>26527276.5688788</v>
      </c>
      <c r="G35" s="572">
        <f>'[6]Table 3 Levels 1&amp;2'!AH38</f>
        <v>4158</v>
      </c>
      <c r="H35" s="552">
        <f t="shared" si="7"/>
        <v>188671.80870280042</v>
      </c>
      <c r="I35" s="561">
        <f t="shared" si="1"/>
        <v>188671.80870280042</v>
      </c>
      <c r="J35" s="53">
        <f>I35/'Table 3 Levels 1&amp;2'!C38</f>
        <v>28.83567304031796</v>
      </c>
      <c r="K35" s="53">
        <f t="shared" si="2"/>
        <v>0</v>
      </c>
      <c r="L35" s="609">
        <f t="shared" si="3"/>
        <v>0</v>
      </c>
      <c r="M35" s="864">
        <f>IF(I35&lt;0,0,(ROUND(D35*'Table 8 Membership, 2.1.09'!V35,0)*-1))</f>
        <v>-661468</v>
      </c>
      <c r="N35" s="9">
        <f t="shared" si="8"/>
        <v>0</v>
      </c>
      <c r="O35" s="274">
        <f t="shared" si="9"/>
        <v>0</v>
      </c>
      <c r="P35" s="302">
        <f t="shared" si="10"/>
        <v>0</v>
      </c>
      <c r="Q35" s="497">
        <f>'[11]City-Parish School Districts'!J38</f>
        <v>48318.406586042554</v>
      </c>
      <c r="R35" s="277">
        <f t="shared" si="11"/>
        <v>0</v>
      </c>
      <c r="S35" s="277"/>
      <c r="T35" s="567">
        <f t="shared" si="4"/>
        <v>0</v>
      </c>
      <c r="U35" s="667">
        <f t="shared" si="12"/>
        <v>0</v>
      </c>
      <c r="V35" s="306">
        <f>'[12]PEP Excluding State Employees08'!S40</f>
        <v>605.2764814814811</v>
      </c>
      <c r="W35" s="562">
        <f t="shared" si="5"/>
        <v>0</v>
      </c>
      <c r="Y35" s="728"/>
      <c r="Z35" s="444"/>
    </row>
    <row r="36" spans="1:26" ht="12.75">
      <c r="A36" s="404">
        <v>32</v>
      </c>
      <c r="B36" s="556" t="s">
        <v>333</v>
      </c>
      <c r="C36" s="548">
        <f>'Table 3 Levels 1&amp;2'!AG39</f>
        <v>125160162.66254</v>
      </c>
      <c r="D36" s="9">
        <f>C36/'Table 3 Levels 1&amp;2'!C39</f>
        <v>5308.345180360506</v>
      </c>
      <c r="E36" s="568">
        <f t="shared" si="6"/>
        <v>25</v>
      </c>
      <c r="F36" s="572">
        <f>'[6]Table 3 Levels 1&amp;2'!AG39</f>
        <v>121754426.902248</v>
      </c>
      <c r="G36" s="572">
        <f>'[6]Table 3 Levels 1&amp;2'!AH39</f>
        <v>5206</v>
      </c>
      <c r="H36" s="552">
        <f t="shared" si="7"/>
        <v>3405735.7602920085</v>
      </c>
      <c r="I36" s="561">
        <f t="shared" si="1"/>
        <v>3405735.7602920085</v>
      </c>
      <c r="J36" s="53">
        <f>I36/'Table 3 Levels 1&amp;2'!C39</f>
        <v>144.4454898758168</v>
      </c>
      <c r="K36" s="53">
        <f t="shared" si="2"/>
        <v>0</v>
      </c>
      <c r="L36" s="609">
        <f t="shared" si="3"/>
        <v>0</v>
      </c>
      <c r="M36" s="864">
        <f>IF(I36&lt;0,0,(ROUND(D36*'Table 8 Membership, 2.1.09'!V36,0)*-1))</f>
        <v>-928960</v>
      </c>
      <c r="N36" s="9">
        <f t="shared" si="8"/>
        <v>2476775.7602920085</v>
      </c>
      <c r="O36" s="274">
        <f t="shared" si="9"/>
        <v>1</v>
      </c>
      <c r="P36" s="302">
        <f t="shared" si="10"/>
        <v>1238388</v>
      </c>
      <c r="Q36" s="497">
        <f>'[11]City-Parish School Districts'!J39</f>
        <v>48143.27466005226</v>
      </c>
      <c r="R36" s="277">
        <f t="shared" si="11"/>
        <v>0</v>
      </c>
      <c r="S36" s="277"/>
      <c r="T36" s="567">
        <f t="shared" si="4"/>
        <v>0</v>
      </c>
      <c r="U36" s="667">
        <f t="shared" si="12"/>
        <v>0</v>
      </c>
      <c r="V36" s="306">
        <f>'[12]PEP Excluding State Employees08'!S41</f>
        <v>1947.642857142857</v>
      </c>
      <c r="W36" s="562">
        <f t="shared" si="5"/>
        <v>0</v>
      </c>
      <c r="Y36" s="728"/>
      <c r="Z36" s="444"/>
    </row>
    <row r="37" spans="1:26" ht="12.75">
      <c r="A37" s="404">
        <v>33</v>
      </c>
      <c r="B37" s="556" t="s">
        <v>334</v>
      </c>
      <c r="C37" s="548">
        <f>'Table 3 Levels 1&amp;2'!AG40</f>
        <v>12739857.141544</v>
      </c>
      <c r="D37" s="9">
        <f>C37/'Table 3 Levels 1&amp;2'!C40</f>
        <v>6506.566466569969</v>
      </c>
      <c r="E37" s="568">
        <f t="shared" si="6"/>
        <v>1</v>
      </c>
      <c r="F37" s="572">
        <f>'[6]Table 3 Levels 1&amp;2'!AG40</f>
        <v>11432431.050848</v>
      </c>
      <c r="G37" s="572">
        <f>'[6]Table 3 Levels 1&amp;2'!AH40</f>
        <v>5699</v>
      </c>
      <c r="H37" s="552">
        <f t="shared" si="7"/>
        <v>1307426.0906959996</v>
      </c>
      <c r="I37" s="561">
        <f t="shared" si="1"/>
        <v>1307426.0906959996</v>
      </c>
      <c r="J37" s="53">
        <f>I37/'Table 3 Levels 1&amp;2'!C40</f>
        <v>667.7354906516852</v>
      </c>
      <c r="K37" s="53">
        <f t="shared" si="2"/>
        <v>0</v>
      </c>
      <c r="L37" s="609">
        <f t="shared" si="3"/>
        <v>0</v>
      </c>
      <c r="M37" s="864">
        <f>IF(I37&lt;0,0,(ROUND(D37*'Table 8 Membership, 2.1.09'!V37,0)*-1))</f>
        <v>0</v>
      </c>
      <c r="N37" s="9">
        <f t="shared" si="8"/>
        <v>1307426.0906959996</v>
      </c>
      <c r="O37" s="274">
        <f t="shared" si="9"/>
        <v>1</v>
      </c>
      <c r="P37" s="302">
        <f t="shared" si="10"/>
        <v>653713</v>
      </c>
      <c r="Q37" s="300">
        <f>'[11]City-Parish School Districts'!J40</f>
        <v>41880.42930103342</v>
      </c>
      <c r="R37" s="277">
        <f t="shared" si="11"/>
        <v>653713</v>
      </c>
      <c r="S37" s="277"/>
      <c r="T37" s="567">
        <f t="shared" si="4"/>
        <v>1</v>
      </c>
      <c r="U37" s="667">
        <f t="shared" si="12"/>
        <v>558968</v>
      </c>
      <c r="V37" s="306">
        <f>'[12]PEP Excluding State Employees08'!S42</f>
        <v>156.9685497835498</v>
      </c>
      <c r="W37" s="562">
        <f aca="true" t="shared" si="13" ref="W37:W68">ROUND(U37/V37,0)</f>
        <v>3561</v>
      </c>
      <c r="Y37" s="728"/>
      <c r="Z37" s="444"/>
    </row>
    <row r="38" spans="1:26" ht="12.75">
      <c r="A38" s="404">
        <v>34</v>
      </c>
      <c r="B38" s="556" t="s">
        <v>335</v>
      </c>
      <c r="C38" s="548">
        <f>'Table 3 Levels 1&amp;2'!AG41</f>
        <v>25563023.8542</v>
      </c>
      <c r="D38" s="9">
        <f>C38/'Table 3 Levels 1&amp;2'!C41</f>
        <v>5491.519624962407</v>
      </c>
      <c r="E38" s="568">
        <f t="shared" si="6"/>
        <v>15</v>
      </c>
      <c r="F38" s="572">
        <f>'[6]Table 3 Levels 1&amp;2'!AG41</f>
        <v>25062119.780024</v>
      </c>
      <c r="G38" s="572">
        <f>'[6]Table 3 Levels 1&amp;2'!AH41</f>
        <v>5340</v>
      </c>
      <c r="H38" s="552">
        <f t="shared" si="7"/>
        <v>500904.0741760023</v>
      </c>
      <c r="I38" s="561">
        <f t="shared" si="1"/>
        <v>500904.0741760023</v>
      </c>
      <c r="J38" s="53">
        <f>I38/'Table 3 Levels 1&amp;2'!C41</f>
        <v>107.60560132674593</v>
      </c>
      <c r="K38" s="53">
        <f t="shared" si="2"/>
        <v>0</v>
      </c>
      <c r="L38" s="609">
        <f t="shared" si="3"/>
        <v>0</v>
      </c>
      <c r="M38" s="864">
        <f>IF(I38&lt;0,0,(ROUND(D38*'Table 8 Membership, 2.1.09'!V38,0)*-1))</f>
        <v>0</v>
      </c>
      <c r="N38" s="9">
        <f t="shared" si="8"/>
        <v>500904.0741760023</v>
      </c>
      <c r="O38" s="274">
        <f t="shared" si="9"/>
        <v>1</v>
      </c>
      <c r="P38" s="302">
        <f t="shared" si="10"/>
        <v>250452</v>
      </c>
      <c r="Q38" s="300">
        <f>'[11]City-Parish School Districts'!J41</f>
        <v>45634.108723484555</v>
      </c>
      <c r="R38" s="277">
        <f t="shared" si="11"/>
        <v>250452</v>
      </c>
      <c r="S38" s="277"/>
      <c r="T38" s="567">
        <f t="shared" si="4"/>
        <v>1</v>
      </c>
      <c r="U38" s="667">
        <f t="shared" si="12"/>
        <v>214153</v>
      </c>
      <c r="V38" s="306">
        <f>'[12]PEP Excluding State Employees08'!S43</f>
        <v>426.7731067395264</v>
      </c>
      <c r="W38" s="562">
        <f t="shared" si="13"/>
        <v>502</v>
      </c>
      <c r="Y38" s="728"/>
      <c r="Z38" s="444"/>
    </row>
    <row r="39" spans="1:26" ht="12.75">
      <c r="A39" s="405">
        <v>35</v>
      </c>
      <c r="B39" s="557" t="s">
        <v>336</v>
      </c>
      <c r="C39" s="549">
        <f>'Table 3 Levels 1&amp;2'!AG42</f>
        <v>30805364.17252</v>
      </c>
      <c r="D39" s="86">
        <f>C39/'Table 3 Levels 1&amp;2'!C42</f>
        <v>4834.489041512868</v>
      </c>
      <c r="E39" s="573">
        <f t="shared" si="6"/>
        <v>34</v>
      </c>
      <c r="F39" s="574">
        <f>'[6]Table 3 Levels 1&amp;2'!AG42</f>
        <v>31273368.817672</v>
      </c>
      <c r="G39" s="575">
        <f>'[6]Table 3 Levels 1&amp;2'!AH42</f>
        <v>4842</v>
      </c>
      <c r="H39" s="553">
        <f t="shared" si="7"/>
        <v>-468004.64515199885</v>
      </c>
      <c r="I39" s="563">
        <f t="shared" si="1"/>
        <v>0</v>
      </c>
      <c r="J39" s="150">
        <f>I39/'Table 3 Levels 1&amp;2'!C42</f>
        <v>0</v>
      </c>
      <c r="K39" s="150">
        <f t="shared" si="2"/>
        <v>-468004.64515199885</v>
      </c>
      <c r="L39" s="610">
        <f t="shared" si="3"/>
        <v>1</v>
      </c>
      <c r="M39" s="865">
        <f>IF(I39&lt;0,0,(ROUND(D39*'Table 8 Membership, 2.1.09'!V39,0)*-1))</f>
        <v>0</v>
      </c>
      <c r="N39" s="86">
        <f t="shared" si="8"/>
        <v>0</v>
      </c>
      <c r="O39" s="275">
        <f t="shared" si="9"/>
        <v>0</v>
      </c>
      <c r="P39" s="303">
        <f t="shared" si="10"/>
        <v>0</v>
      </c>
      <c r="Q39" s="301">
        <f>'[11]City-Parish School Districts'!J42</f>
        <v>42382.17974558221</v>
      </c>
      <c r="R39" s="278">
        <f t="shared" si="11"/>
        <v>0</v>
      </c>
      <c r="S39" s="278"/>
      <c r="T39" s="569">
        <f t="shared" si="4"/>
        <v>0</v>
      </c>
      <c r="U39" s="668">
        <f t="shared" si="12"/>
        <v>0</v>
      </c>
      <c r="V39" s="307">
        <f>'[12]PEP Excluding State Employees08'!S44</f>
        <v>535.4830215045314</v>
      </c>
      <c r="W39" s="564">
        <f t="shared" si="13"/>
        <v>0</v>
      </c>
      <c r="Y39" s="728"/>
      <c r="Z39" s="444"/>
    </row>
    <row r="40" spans="1:26" ht="12.75">
      <c r="A40" s="404">
        <v>36</v>
      </c>
      <c r="B40" s="556" t="s">
        <v>337</v>
      </c>
      <c r="C40" s="548">
        <f>'Table 3 Levels 1&amp;2'!AG43</f>
        <v>94494791.1677356</v>
      </c>
      <c r="D40" s="9">
        <f>C40/'Table 3 Levels 1&amp;2'!C43</f>
        <v>2804.582292100306</v>
      </c>
      <c r="E40" s="568">
        <f t="shared" si="6"/>
        <v>61</v>
      </c>
      <c r="F40" s="572">
        <f>'[6]Table 3 Levels 1&amp;2'!AG43</f>
        <v>90267211.0215884</v>
      </c>
      <c r="G40" s="572">
        <f>'[6]Table 3 Levels 1&amp;2'!AH43</f>
        <v>2760</v>
      </c>
      <c r="H40" s="552">
        <f t="shared" si="7"/>
        <v>4227580.146147206</v>
      </c>
      <c r="I40" s="561">
        <f t="shared" si="1"/>
        <v>4227580.146147206</v>
      </c>
      <c r="J40" s="53">
        <f>I40/'Table 3 Levels 1&amp;2'!C43</f>
        <v>125.47354483563964</v>
      </c>
      <c r="K40" s="53">
        <f t="shared" si="2"/>
        <v>0</v>
      </c>
      <c r="L40" s="609">
        <f t="shared" si="3"/>
        <v>0</v>
      </c>
      <c r="M40" s="864">
        <f>IF(I40&lt;0,0,(ROUND(D40*'Table 8 Membership, 2.1.09'!V40,0)*-1))</f>
        <v>-2773732</v>
      </c>
      <c r="N40" s="9">
        <f t="shared" si="8"/>
        <v>1453848.1461472064</v>
      </c>
      <c r="O40" s="274">
        <f t="shared" si="9"/>
        <v>1</v>
      </c>
      <c r="P40" s="302">
        <f t="shared" si="10"/>
        <v>726924</v>
      </c>
      <c r="Q40" s="497">
        <f>'[11]City-Parish School Districts'!J43</f>
        <v>48780.1452359365</v>
      </c>
      <c r="R40" s="277">
        <f t="shared" si="11"/>
        <v>0</v>
      </c>
      <c r="S40" s="277"/>
      <c r="T40" s="567">
        <f t="shared" si="4"/>
        <v>0</v>
      </c>
      <c r="U40" s="667">
        <f t="shared" si="12"/>
        <v>0</v>
      </c>
      <c r="V40" s="861">
        <f>'[12]PEP Excluding State Employees08'!S45</f>
        <v>924.6662247259873</v>
      </c>
      <c r="W40" s="862">
        <f t="shared" si="13"/>
        <v>0</v>
      </c>
      <c r="Y40" s="728"/>
      <c r="Z40" s="444"/>
    </row>
    <row r="41" spans="1:26" ht="12.75">
      <c r="A41" s="404">
        <v>37</v>
      </c>
      <c r="B41" s="556" t="s">
        <v>338</v>
      </c>
      <c r="C41" s="548">
        <f>'Table 3 Levels 1&amp;2'!AG44</f>
        <v>98562555.9358244</v>
      </c>
      <c r="D41" s="9">
        <f>C41/'Table 3 Levels 1&amp;2'!C44</f>
        <v>5316.784762963879</v>
      </c>
      <c r="E41" s="568">
        <f t="shared" si="6"/>
        <v>24</v>
      </c>
      <c r="F41" s="572">
        <f>'[6]Table 3 Levels 1&amp;2'!AG44</f>
        <v>97582930.00822401</v>
      </c>
      <c r="G41" s="572">
        <f>'[6]Table 3 Levels 1&amp;2'!AH44</f>
        <v>5280</v>
      </c>
      <c r="H41" s="552">
        <f t="shared" si="7"/>
        <v>979625.9276003838</v>
      </c>
      <c r="I41" s="561">
        <f t="shared" si="1"/>
        <v>979625.9276003838</v>
      </c>
      <c r="J41" s="53">
        <f>I41/'Table 3 Levels 1&amp;2'!C44</f>
        <v>52.84420798362195</v>
      </c>
      <c r="K41" s="53">
        <f t="shared" si="2"/>
        <v>0</v>
      </c>
      <c r="L41" s="609">
        <f t="shared" si="3"/>
        <v>0</v>
      </c>
      <c r="M41" s="864">
        <f>IF(I41&lt;0,0,(ROUND(D41*'Table 8 Membership, 2.1.09'!V41,0)*-1))</f>
        <v>-95702</v>
      </c>
      <c r="N41" s="9">
        <f t="shared" si="8"/>
        <v>883923.9276003838</v>
      </c>
      <c r="O41" s="274">
        <f t="shared" si="9"/>
        <v>1</v>
      </c>
      <c r="P41" s="302">
        <f t="shared" si="10"/>
        <v>441962</v>
      </c>
      <c r="Q41" s="497">
        <f>'[11]City-Parish School Districts'!J44</f>
        <v>47714.787272236536</v>
      </c>
      <c r="R41" s="277">
        <f t="shared" si="11"/>
        <v>0</v>
      </c>
      <c r="S41" s="277"/>
      <c r="T41" s="567">
        <f t="shared" si="4"/>
        <v>0</v>
      </c>
      <c r="U41" s="667">
        <f t="shared" si="12"/>
        <v>0</v>
      </c>
      <c r="V41" s="306">
        <f>'[12]PEP Excluding State Employees08'!S46</f>
        <v>1653.7410256410255</v>
      </c>
      <c r="W41" s="562">
        <f t="shared" si="13"/>
        <v>0</v>
      </c>
      <c r="Y41" s="728"/>
      <c r="Z41" s="444"/>
    </row>
    <row r="42" spans="1:26" ht="12.75">
      <c r="A42" s="404">
        <v>38</v>
      </c>
      <c r="B42" s="556" t="s">
        <v>339</v>
      </c>
      <c r="C42" s="548">
        <f>'Table 3 Levels 1&amp;2'!AG45</f>
        <v>4863082.5</v>
      </c>
      <c r="D42" s="9">
        <f>C42/'Table 3 Levels 1&amp;2'!C45</f>
        <v>1416.5693271191378</v>
      </c>
      <c r="E42" s="568">
        <f t="shared" si="6"/>
        <v>69</v>
      </c>
      <c r="F42" s="572">
        <f>'[6]Table 3 Levels 1&amp;2'!AG45</f>
        <v>4907415</v>
      </c>
      <c r="G42" s="572">
        <f>'[6]Table 3 Levels 1&amp;2'!AH45</f>
        <v>1394</v>
      </c>
      <c r="H42" s="552">
        <f t="shared" si="7"/>
        <v>-44332.5</v>
      </c>
      <c r="I42" s="561">
        <f t="shared" si="1"/>
        <v>0</v>
      </c>
      <c r="J42" s="53">
        <f>I42/'Table 3 Levels 1&amp;2'!C45</f>
        <v>0</v>
      </c>
      <c r="K42" s="53">
        <f t="shared" si="2"/>
        <v>-44332.5</v>
      </c>
      <c r="L42" s="609">
        <f t="shared" si="3"/>
        <v>1</v>
      </c>
      <c r="M42" s="864">
        <f>IF(I42&lt;0,0,(ROUND(D42*'Table 8 Membership, 2.1.09'!V42,0)*-1))</f>
        <v>0</v>
      </c>
      <c r="N42" s="9">
        <f t="shared" si="8"/>
        <v>0</v>
      </c>
      <c r="O42" s="274">
        <f t="shared" si="9"/>
        <v>0</v>
      </c>
      <c r="P42" s="302">
        <f t="shared" si="10"/>
        <v>0</v>
      </c>
      <c r="Q42" s="497">
        <f>'[11]City-Parish School Districts'!J45</f>
        <v>47780.44522968198</v>
      </c>
      <c r="R42" s="277">
        <f t="shared" si="11"/>
        <v>0</v>
      </c>
      <c r="S42" s="277"/>
      <c r="T42" s="567">
        <f t="shared" si="4"/>
        <v>0</v>
      </c>
      <c r="U42" s="667">
        <f t="shared" si="12"/>
        <v>0</v>
      </c>
      <c r="V42" s="306">
        <f>'[12]PEP Excluding State Employees08'!S47</f>
        <v>351</v>
      </c>
      <c r="W42" s="562">
        <f t="shared" si="13"/>
        <v>0</v>
      </c>
      <c r="Y42" s="728"/>
      <c r="Z42" s="444"/>
    </row>
    <row r="43" spans="1:26" ht="12.75">
      <c r="A43" s="404">
        <v>39</v>
      </c>
      <c r="B43" s="556" t="s">
        <v>340</v>
      </c>
      <c r="C43" s="548">
        <f>'Table 3 Levels 1&amp;2'!AG46</f>
        <v>9721175.083492</v>
      </c>
      <c r="D43" s="9">
        <f>C43/'Table 3 Levels 1&amp;2'!C46</f>
        <v>3390.713318274154</v>
      </c>
      <c r="E43" s="568">
        <f t="shared" si="6"/>
        <v>57</v>
      </c>
      <c r="F43" s="572">
        <f>'[6]Table 3 Levels 1&amp;2'!AG46</f>
        <v>10068919.74464</v>
      </c>
      <c r="G43" s="572">
        <f>'[6]Table 3 Levels 1&amp;2'!AH46</f>
        <v>3399</v>
      </c>
      <c r="H43" s="552">
        <f t="shared" si="7"/>
        <v>-347744.6611480005</v>
      </c>
      <c r="I43" s="561">
        <f t="shared" si="1"/>
        <v>0</v>
      </c>
      <c r="J43" s="53">
        <f>I43/'Table 3 Levels 1&amp;2'!C46</f>
        <v>0</v>
      </c>
      <c r="K43" s="53">
        <f t="shared" si="2"/>
        <v>-347744.6611480005</v>
      </c>
      <c r="L43" s="609">
        <f t="shared" si="3"/>
        <v>1</v>
      </c>
      <c r="M43" s="864">
        <f>IF(I43&lt;0,0,(ROUND(D43*'Table 8 Membership, 2.1.09'!V43,0)*-1))</f>
        <v>0</v>
      </c>
      <c r="N43" s="9">
        <f t="shared" si="8"/>
        <v>0</v>
      </c>
      <c r="O43" s="274">
        <f t="shared" si="9"/>
        <v>0</v>
      </c>
      <c r="P43" s="302">
        <f t="shared" si="10"/>
        <v>0</v>
      </c>
      <c r="Q43" s="300">
        <f>'[11]City-Parish School Districts'!J46</f>
        <v>44417.10303030303</v>
      </c>
      <c r="R43" s="277">
        <f t="shared" si="11"/>
        <v>0</v>
      </c>
      <c r="S43" s="824" t="s">
        <v>620</v>
      </c>
      <c r="T43" s="825">
        <f t="shared" si="4"/>
        <v>0</v>
      </c>
      <c r="U43" s="667">
        <f t="shared" si="12"/>
        <v>0</v>
      </c>
      <c r="V43" s="861">
        <f>'[12]PEP Excluding State Employees08'!S48</f>
        <v>230.76923076923077</v>
      </c>
      <c r="W43" s="862">
        <f t="shared" si="13"/>
        <v>0</v>
      </c>
      <c r="Y43" s="728"/>
      <c r="Z43" s="444"/>
    </row>
    <row r="44" spans="1:26" ht="12.75">
      <c r="A44" s="405">
        <v>40</v>
      </c>
      <c r="B44" s="557" t="s">
        <v>341</v>
      </c>
      <c r="C44" s="549">
        <f>'Table 3 Levels 1&amp;2'!AG47</f>
        <v>102125275.226808</v>
      </c>
      <c r="D44" s="86">
        <f>C44/'Table 3 Levels 1&amp;2'!C47</f>
        <v>4518.817487911858</v>
      </c>
      <c r="E44" s="573">
        <f t="shared" si="6"/>
        <v>41</v>
      </c>
      <c r="F44" s="574">
        <f>'[6]Table 3 Levels 1&amp;2'!AG47</f>
        <v>100437463.16998</v>
      </c>
      <c r="G44" s="575">
        <f>'[6]Table 3 Levels 1&amp;2'!AH47</f>
        <v>4493</v>
      </c>
      <c r="H44" s="553">
        <f t="shared" si="7"/>
        <v>1687812.0568279922</v>
      </c>
      <c r="I44" s="563">
        <f t="shared" si="1"/>
        <v>1687812.0568279922</v>
      </c>
      <c r="J44" s="150">
        <f>I44/'Table 3 Levels 1&amp;2'!C47</f>
        <v>74.6819494171678</v>
      </c>
      <c r="K44" s="150">
        <f t="shared" si="2"/>
        <v>0</v>
      </c>
      <c r="L44" s="610">
        <f t="shared" si="3"/>
        <v>0</v>
      </c>
      <c r="M44" s="865">
        <f>IF(I44&lt;0,0,(ROUND(D44*'Table 8 Membership, 2.1.09'!V44,0)*-1))</f>
        <v>-1170374</v>
      </c>
      <c r="N44" s="86">
        <f t="shared" si="8"/>
        <v>517438.0568279922</v>
      </c>
      <c r="O44" s="275">
        <f t="shared" si="9"/>
        <v>1</v>
      </c>
      <c r="P44" s="303">
        <f t="shared" si="10"/>
        <v>258719</v>
      </c>
      <c r="Q44" s="301">
        <f>'[11]City-Parish School Districts'!J47</f>
        <v>42307.88517040899</v>
      </c>
      <c r="R44" s="278">
        <f t="shared" si="11"/>
        <v>258719</v>
      </c>
      <c r="S44" s="278"/>
      <c r="T44" s="569">
        <f t="shared" si="4"/>
        <v>1</v>
      </c>
      <c r="U44" s="668">
        <f t="shared" si="12"/>
        <v>221222</v>
      </c>
      <c r="V44" s="307">
        <f>'[12]PEP Excluding State Employees08'!S49</f>
        <v>2020.499960753532</v>
      </c>
      <c r="W44" s="564">
        <f t="shared" si="13"/>
        <v>109</v>
      </c>
      <c r="Y44" s="728"/>
      <c r="Z44" s="444"/>
    </row>
    <row r="45" spans="1:26" ht="12.75">
      <c r="A45" s="404">
        <v>41</v>
      </c>
      <c r="B45" s="556" t="s">
        <v>342</v>
      </c>
      <c r="C45" s="548">
        <f>'Table 3 Levels 1&amp;2'!AG48</f>
        <v>8464157.928528</v>
      </c>
      <c r="D45" s="9">
        <f>C45/'Table 3 Levels 1&amp;2'!C48</f>
        <v>6155.751220747636</v>
      </c>
      <c r="E45" s="568">
        <f t="shared" si="6"/>
        <v>2</v>
      </c>
      <c r="F45" s="572">
        <f>'[6]Table 3 Levels 1&amp;2'!AG48</f>
        <v>8991168.7121764</v>
      </c>
      <c r="G45" s="572">
        <f>'[6]Table 3 Levels 1&amp;2'!AH48</f>
        <v>6445</v>
      </c>
      <c r="H45" s="552">
        <f t="shared" si="7"/>
        <v>-527010.7836483996</v>
      </c>
      <c r="I45" s="561">
        <f t="shared" si="1"/>
        <v>0</v>
      </c>
      <c r="J45" s="53">
        <f>I45/'Table 3 Levels 1&amp;2'!C48</f>
        <v>0</v>
      </c>
      <c r="K45" s="53">
        <f t="shared" si="2"/>
        <v>-527010.7836483996</v>
      </c>
      <c r="L45" s="609">
        <f t="shared" si="3"/>
        <v>1</v>
      </c>
      <c r="M45" s="864">
        <f>IF(I45&lt;0,0,(ROUND(D45*'Table 8 Membership, 2.1.09'!V45,0)*-1))</f>
        <v>0</v>
      </c>
      <c r="N45" s="9">
        <f t="shared" si="8"/>
        <v>0</v>
      </c>
      <c r="O45" s="274">
        <f t="shared" si="9"/>
        <v>0</v>
      </c>
      <c r="P45" s="302">
        <f t="shared" si="10"/>
        <v>0</v>
      </c>
      <c r="Q45" s="300">
        <f>'[11]City-Parish School Districts'!J48</f>
        <v>46695.94551359161</v>
      </c>
      <c r="R45" s="277">
        <f t="shared" si="11"/>
        <v>0</v>
      </c>
      <c r="S45" s="277"/>
      <c r="T45" s="567">
        <f t="shared" si="4"/>
        <v>0</v>
      </c>
      <c r="U45" s="667">
        <f t="shared" si="12"/>
        <v>0</v>
      </c>
      <c r="V45" s="306">
        <f>'[12]PEP Excluding State Employees08'!S50</f>
        <v>139.8211708394698</v>
      </c>
      <c r="W45" s="562">
        <f t="shared" si="13"/>
        <v>0</v>
      </c>
      <c r="Y45" s="728"/>
      <c r="Z45" s="444"/>
    </row>
    <row r="46" spans="1:26" ht="12.75">
      <c r="A46" s="404">
        <v>42</v>
      </c>
      <c r="B46" s="556" t="s">
        <v>343</v>
      </c>
      <c r="C46" s="548">
        <f>'Table 3 Levels 1&amp;2'!AG49</f>
        <v>17804923.270016</v>
      </c>
      <c r="D46" s="9">
        <f>C46/'Table 3 Levels 1&amp;2'!C49</f>
        <v>5408.542913127582</v>
      </c>
      <c r="E46" s="568">
        <f t="shared" si="6"/>
        <v>20</v>
      </c>
      <c r="F46" s="572">
        <f>'[6]Table 3 Levels 1&amp;2'!AG49</f>
        <v>18396189.641704</v>
      </c>
      <c r="G46" s="572">
        <f>'[6]Table 3 Levels 1&amp;2'!AH49</f>
        <v>5602</v>
      </c>
      <c r="H46" s="552">
        <f t="shared" si="7"/>
        <v>-591266.3716880009</v>
      </c>
      <c r="I46" s="561">
        <f t="shared" si="1"/>
        <v>0</v>
      </c>
      <c r="J46" s="53">
        <f>I46/'Table 3 Levels 1&amp;2'!C49</f>
        <v>0</v>
      </c>
      <c r="K46" s="53">
        <f t="shared" si="2"/>
        <v>-591266.3716880009</v>
      </c>
      <c r="L46" s="609">
        <f t="shared" si="3"/>
        <v>1</v>
      </c>
      <c r="M46" s="864">
        <f>IF(I46&lt;0,0,(ROUND(D46*'Table 8 Membership, 2.1.09'!V46,0)*-1))</f>
        <v>-43268</v>
      </c>
      <c r="N46" s="9">
        <f t="shared" si="8"/>
        <v>0</v>
      </c>
      <c r="O46" s="274">
        <f t="shared" si="9"/>
        <v>0</v>
      </c>
      <c r="P46" s="302">
        <f t="shared" si="10"/>
        <v>0</v>
      </c>
      <c r="Q46" s="300">
        <f>'[11]City-Parish School Districts'!J49</f>
        <v>39451.23478681215</v>
      </c>
      <c r="R46" s="277">
        <f t="shared" si="11"/>
        <v>0</v>
      </c>
      <c r="S46" s="277"/>
      <c r="T46" s="567">
        <f t="shared" si="4"/>
        <v>0</v>
      </c>
      <c r="U46" s="667">
        <f t="shared" si="12"/>
        <v>0</v>
      </c>
      <c r="V46" s="306">
        <f>'[12]PEP Excluding State Employees08'!S51</f>
        <v>305.0474454365079</v>
      </c>
      <c r="W46" s="562">
        <f t="shared" si="13"/>
        <v>0</v>
      </c>
      <c r="Y46" s="728"/>
      <c r="Z46" s="444"/>
    </row>
    <row r="47" spans="1:26" ht="12.75">
      <c r="A47" s="404">
        <v>43</v>
      </c>
      <c r="B47" s="556" t="s">
        <v>344</v>
      </c>
      <c r="C47" s="548">
        <f>'Table 3 Levels 1&amp;2'!AG50</f>
        <v>22385932.379171997</v>
      </c>
      <c r="D47" s="9">
        <f>C47/'Table 3 Levels 1&amp;2'!C50</f>
        <v>5720.9129514878605</v>
      </c>
      <c r="E47" s="568">
        <f t="shared" si="6"/>
        <v>9</v>
      </c>
      <c r="F47" s="572">
        <f>'[6]Table 3 Levels 1&amp;2'!AG50</f>
        <v>21068384.799784</v>
      </c>
      <c r="G47" s="572">
        <f>'[6]Table 3 Levels 1&amp;2'!AH50</f>
        <v>5365</v>
      </c>
      <c r="H47" s="552">
        <f t="shared" si="7"/>
        <v>1317547.5793879963</v>
      </c>
      <c r="I47" s="561">
        <f t="shared" si="1"/>
        <v>1317547.5793879963</v>
      </c>
      <c r="J47" s="53">
        <f>I47/'Table 3 Levels 1&amp;2'!C50</f>
        <v>336.7103448474307</v>
      </c>
      <c r="K47" s="53">
        <f t="shared" si="2"/>
        <v>0</v>
      </c>
      <c r="L47" s="609">
        <f t="shared" si="3"/>
        <v>0</v>
      </c>
      <c r="M47" s="864">
        <f>IF(I47&lt;0,0,(ROUND(D47*'Table 8 Membership, 2.1.09'!V47,0)*-1))</f>
        <v>0</v>
      </c>
      <c r="N47" s="9">
        <f t="shared" si="8"/>
        <v>1317547.5793879963</v>
      </c>
      <c r="O47" s="274">
        <f t="shared" si="9"/>
        <v>1</v>
      </c>
      <c r="P47" s="302">
        <f t="shared" si="10"/>
        <v>658774</v>
      </c>
      <c r="Q47" s="300">
        <f>'[11]City-Parish School Districts'!J50</f>
        <v>44873.479365079365</v>
      </c>
      <c r="R47" s="277">
        <f t="shared" si="11"/>
        <v>658774</v>
      </c>
      <c r="S47" s="277"/>
      <c r="T47" s="567">
        <f t="shared" si="4"/>
        <v>1</v>
      </c>
      <c r="U47" s="667">
        <f t="shared" si="12"/>
        <v>563295</v>
      </c>
      <c r="V47" s="306">
        <f>'[12]PEP Excluding State Employees08'!S52</f>
        <v>378</v>
      </c>
      <c r="W47" s="562">
        <f t="shared" si="13"/>
        <v>1490</v>
      </c>
      <c r="Y47" s="728"/>
      <c r="Z47" s="444"/>
    </row>
    <row r="48" spans="1:26" ht="12.75">
      <c r="A48" s="404">
        <v>44</v>
      </c>
      <c r="B48" s="556" t="s">
        <v>345</v>
      </c>
      <c r="C48" s="548">
        <f>'Table 3 Levels 1&amp;2'!AG51</f>
        <v>16436882.937849201</v>
      </c>
      <c r="D48" s="9">
        <f>C48/'Table 3 Levels 1&amp;2'!C51</f>
        <v>3770.7921399057586</v>
      </c>
      <c r="E48" s="568">
        <f t="shared" si="6"/>
        <v>55</v>
      </c>
      <c r="F48" s="572">
        <f>'[6]Table 3 Levels 1&amp;2'!AG51</f>
        <v>13864885.6198464</v>
      </c>
      <c r="G48" s="572">
        <f>'[6]Table 3 Levels 1&amp;2'!AH51</f>
        <v>3434</v>
      </c>
      <c r="H48" s="552">
        <f t="shared" si="7"/>
        <v>2571997.3180028014</v>
      </c>
      <c r="I48" s="561">
        <f t="shared" si="1"/>
        <v>2571997.3180028014</v>
      </c>
      <c r="J48" s="53">
        <f>I48/'Table 3 Levels 1&amp;2'!C51</f>
        <v>590.0429727008033</v>
      </c>
      <c r="K48" s="53">
        <f t="shared" si="2"/>
        <v>0</v>
      </c>
      <c r="L48" s="609">
        <f t="shared" si="3"/>
        <v>0</v>
      </c>
      <c r="M48" s="864">
        <f>IF(I48&lt;0,0,(ROUND(D48*'Table 8 Membership, 2.1.09'!V48,0)*-1))</f>
        <v>-1214195</v>
      </c>
      <c r="N48" s="9">
        <f t="shared" si="8"/>
        <v>1357802.3180028014</v>
      </c>
      <c r="O48" s="274">
        <f t="shared" si="9"/>
        <v>1</v>
      </c>
      <c r="P48" s="302">
        <f t="shared" si="10"/>
        <v>678901</v>
      </c>
      <c r="Q48" s="300">
        <f>'[11]City-Parish School Districts'!J51</f>
        <v>45898.3379332092</v>
      </c>
      <c r="R48" s="277">
        <f t="shared" si="11"/>
        <v>678901</v>
      </c>
      <c r="S48" s="277"/>
      <c r="T48" s="567">
        <f t="shared" si="4"/>
        <v>1</v>
      </c>
      <c r="U48" s="667">
        <f t="shared" si="12"/>
        <v>580505</v>
      </c>
      <c r="V48" s="306">
        <f>'[12]PEP Excluding State Employees08'!S53</f>
        <v>449.9290862590096</v>
      </c>
      <c r="W48" s="562">
        <f t="shared" si="13"/>
        <v>1290</v>
      </c>
      <c r="Y48" s="728"/>
      <c r="Z48" s="444"/>
    </row>
    <row r="49" spans="1:26" ht="12.75">
      <c r="A49" s="405">
        <v>45</v>
      </c>
      <c r="B49" s="557" t="s">
        <v>346</v>
      </c>
      <c r="C49" s="549">
        <f>'Table 3 Levels 1&amp;2'!AG52</f>
        <v>16443407</v>
      </c>
      <c r="D49" s="86">
        <f>C49/'Table 3 Levels 1&amp;2'!C52</f>
        <v>1776.7052404105889</v>
      </c>
      <c r="E49" s="573">
        <f t="shared" si="6"/>
        <v>68</v>
      </c>
      <c r="F49" s="574">
        <f>'[6]Table 3 Levels 1&amp;2'!AG52</f>
        <v>16498527</v>
      </c>
      <c r="G49" s="575">
        <f>'[6]Table 3 Levels 1&amp;2'!AH52</f>
        <v>1782</v>
      </c>
      <c r="H49" s="553">
        <f t="shared" si="7"/>
        <v>-55120</v>
      </c>
      <c r="I49" s="563">
        <f t="shared" si="1"/>
        <v>0</v>
      </c>
      <c r="J49" s="150">
        <f>I49/'Table 3 Levels 1&amp;2'!C52</f>
        <v>0</v>
      </c>
      <c r="K49" s="150">
        <f t="shared" si="2"/>
        <v>-55120</v>
      </c>
      <c r="L49" s="610">
        <f t="shared" si="3"/>
        <v>1</v>
      </c>
      <c r="M49" s="865">
        <f>IF(I49&lt;0,0,(ROUND(D49*'Table 8 Membership, 2.1.09'!V49,0)*-1))</f>
        <v>0</v>
      </c>
      <c r="N49" s="86">
        <f t="shared" si="8"/>
        <v>0</v>
      </c>
      <c r="O49" s="275">
        <f t="shared" si="9"/>
        <v>0</v>
      </c>
      <c r="P49" s="303">
        <f t="shared" si="10"/>
        <v>0</v>
      </c>
      <c r="Q49" s="498">
        <f>'[11]City-Parish School Districts'!J52</f>
        <v>51799.09813664596</v>
      </c>
      <c r="R49" s="278">
        <f t="shared" si="11"/>
        <v>0</v>
      </c>
      <c r="S49" s="278"/>
      <c r="T49" s="569">
        <f t="shared" si="4"/>
        <v>0</v>
      </c>
      <c r="U49" s="668">
        <f t="shared" si="12"/>
        <v>0</v>
      </c>
      <c r="V49" s="307">
        <f>'[12]PEP Excluding State Employees08'!S54</f>
        <v>994.5</v>
      </c>
      <c r="W49" s="564">
        <f t="shared" si="13"/>
        <v>0</v>
      </c>
      <c r="Y49" s="728"/>
      <c r="Z49" s="444"/>
    </row>
    <row r="50" spans="1:26" ht="12.75">
      <c r="A50" s="404">
        <v>46</v>
      </c>
      <c r="B50" s="556" t="s">
        <v>347</v>
      </c>
      <c r="C50" s="548">
        <f>'Table 3 Levels 1&amp;2'!AG53</f>
        <v>6378880.473708</v>
      </c>
      <c r="D50" s="9">
        <f>C50/'Table 3 Levels 1&amp;2'!C53</f>
        <v>5595.509187463158</v>
      </c>
      <c r="E50" s="568">
        <f t="shared" si="6"/>
        <v>13</v>
      </c>
      <c r="F50" s="572">
        <f>'[6]Table 3 Levels 1&amp;2'!AG53</f>
        <v>6629216.792768</v>
      </c>
      <c r="G50" s="572">
        <f>'[6]Table 3 Levels 1&amp;2'!AH53</f>
        <v>5534</v>
      </c>
      <c r="H50" s="552">
        <f t="shared" si="7"/>
        <v>-250336.31905999966</v>
      </c>
      <c r="I50" s="561">
        <f t="shared" si="1"/>
        <v>0</v>
      </c>
      <c r="J50" s="53">
        <f>I50/'Table 3 Levels 1&amp;2'!C53</f>
        <v>0</v>
      </c>
      <c r="K50" s="53">
        <f t="shared" si="2"/>
        <v>-250336.31905999966</v>
      </c>
      <c r="L50" s="609">
        <f t="shared" si="3"/>
        <v>1</v>
      </c>
      <c r="M50" s="864">
        <f>IF(I50&lt;0,0,(ROUND(D50*'Table 8 Membership, 2.1.09'!V50,0)*-1))</f>
        <v>0</v>
      </c>
      <c r="N50" s="9">
        <f t="shared" si="8"/>
        <v>0</v>
      </c>
      <c r="O50" s="274">
        <f t="shared" si="9"/>
        <v>0</v>
      </c>
      <c r="P50" s="302">
        <f t="shared" si="10"/>
        <v>0</v>
      </c>
      <c r="Q50" s="300">
        <f>'[11]City-Parish School Districts'!J53</f>
        <v>35969.37927266266</v>
      </c>
      <c r="R50" s="277">
        <f t="shared" si="11"/>
        <v>0</v>
      </c>
      <c r="S50" s="277"/>
      <c r="T50" s="567">
        <f t="shared" si="4"/>
        <v>0</v>
      </c>
      <c r="U50" s="667">
        <f t="shared" si="12"/>
        <v>0</v>
      </c>
      <c r="V50" s="306">
        <f>'[12]PEP Excluding State Employees08'!S55</f>
        <v>96.43346646892117</v>
      </c>
      <c r="W50" s="562">
        <f t="shared" si="13"/>
        <v>0</v>
      </c>
      <c r="Y50" s="728"/>
      <c r="Z50" s="444"/>
    </row>
    <row r="51" spans="1:26" ht="12.75">
      <c r="A51" s="404">
        <v>47</v>
      </c>
      <c r="B51" s="556" t="s">
        <v>348</v>
      </c>
      <c r="C51" s="548">
        <f>'Table 3 Levels 1&amp;2'!AG54</f>
        <v>12045767.1154176</v>
      </c>
      <c r="D51" s="9">
        <f>C51/'Table 3 Levels 1&amp;2'!C54</f>
        <v>3190.086630142373</v>
      </c>
      <c r="E51" s="568">
        <f t="shared" si="6"/>
        <v>58</v>
      </c>
      <c r="F51" s="572">
        <f>'[6]Table 3 Levels 1&amp;2'!AG54</f>
        <v>13038015.6497088</v>
      </c>
      <c r="G51" s="572">
        <f>'[6]Table 3 Levels 1&amp;2'!AH54</f>
        <v>3400</v>
      </c>
      <c r="H51" s="552">
        <f t="shared" si="7"/>
        <v>-992248.5342912003</v>
      </c>
      <c r="I51" s="561">
        <f t="shared" si="1"/>
        <v>0</v>
      </c>
      <c r="J51" s="53">
        <f>I51/'Table 3 Levels 1&amp;2'!C54</f>
        <v>0</v>
      </c>
      <c r="K51" s="53">
        <f t="shared" si="2"/>
        <v>-992248.5342912003</v>
      </c>
      <c r="L51" s="609">
        <f t="shared" si="3"/>
        <v>1</v>
      </c>
      <c r="M51" s="864">
        <f>IF(I51&lt;0,0,(ROUND(D51*'Table 8 Membership, 2.1.09'!V51,0)*-1))</f>
        <v>0</v>
      </c>
      <c r="N51" s="9">
        <f t="shared" si="8"/>
        <v>0</v>
      </c>
      <c r="O51" s="274">
        <f t="shared" si="9"/>
        <v>0</v>
      </c>
      <c r="P51" s="302">
        <f t="shared" si="10"/>
        <v>0</v>
      </c>
      <c r="Q51" s="497">
        <f>'[11]City-Parish School Districts'!J54</f>
        <v>51821.62802729493</v>
      </c>
      <c r="R51" s="277">
        <f t="shared" si="11"/>
        <v>0</v>
      </c>
      <c r="S51" s="277"/>
      <c r="T51" s="567">
        <f t="shared" si="4"/>
        <v>0</v>
      </c>
      <c r="U51" s="667">
        <f t="shared" si="12"/>
        <v>0</v>
      </c>
      <c r="V51" s="306">
        <f>'[12]PEP Excluding State Employees08'!S56</f>
        <v>409.625</v>
      </c>
      <c r="W51" s="562">
        <f t="shared" si="13"/>
        <v>0</v>
      </c>
      <c r="Y51" s="728"/>
      <c r="Z51" s="444"/>
    </row>
    <row r="52" spans="1:26" ht="12.75">
      <c r="A52" s="404">
        <v>48</v>
      </c>
      <c r="B52" s="556" t="s">
        <v>428</v>
      </c>
      <c r="C52" s="548">
        <f>'Table 3 Levels 1&amp;2'!AG55</f>
        <v>24713964.1017876</v>
      </c>
      <c r="D52" s="9">
        <f>C52/'Table 3 Levels 1&amp;2'!C55</f>
        <v>4066.134271435933</v>
      </c>
      <c r="E52" s="568">
        <f t="shared" si="6"/>
        <v>50</v>
      </c>
      <c r="F52" s="572">
        <f>'[6]Table 3 Levels 1&amp;2'!AG55</f>
        <v>28355575.172652</v>
      </c>
      <c r="G52" s="572">
        <f>'[6]Table 3 Levels 1&amp;2'!AH55</f>
        <v>4535</v>
      </c>
      <c r="H52" s="552">
        <f t="shared" si="7"/>
        <v>-3641611.070864398</v>
      </c>
      <c r="I52" s="561">
        <f t="shared" si="1"/>
        <v>0</v>
      </c>
      <c r="J52" s="53">
        <f>I52/'Table 3 Levels 1&amp;2'!C55</f>
        <v>0</v>
      </c>
      <c r="K52" s="53">
        <f t="shared" si="2"/>
        <v>-3641611.070864398</v>
      </c>
      <c r="L52" s="609">
        <f t="shared" si="3"/>
        <v>1</v>
      </c>
      <c r="M52" s="864">
        <f>IF(I52&lt;0,0,(ROUND(D52*'Table 8 Membership, 2.1.09'!V52,0)*-1))</f>
        <v>0</v>
      </c>
      <c r="N52" s="9">
        <f t="shared" si="8"/>
        <v>0</v>
      </c>
      <c r="O52" s="274">
        <f t="shared" si="9"/>
        <v>0</v>
      </c>
      <c r="P52" s="302">
        <f t="shared" si="10"/>
        <v>0</v>
      </c>
      <c r="Q52" s="497">
        <f>'[11]City-Parish School Districts'!J55</f>
        <v>48364.385141134444</v>
      </c>
      <c r="R52" s="277">
        <f t="shared" si="11"/>
        <v>0</v>
      </c>
      <c r="S52" s="277"/>
      <c r="T52" s="567">
        <f t="shared" si="4"/>
        <v>0</v>
      </c>
      <c r="U52" s="667">
        <f t="shared" si="12"/>
        <v>0</v>
      </c>
      <c r="V52" s="306">
        <f>'[12]PEP Excluding State Employees08'!S57</f>
        <v>654.1868131868132</v>
      </c>
      <c r="W52" s="562">
        <f t="shared" si="13"/>
        <v>0</v>
      </c>
      <c r="Y52" s="728"/>
      <c r="Z52" s="444"/>
    </row>
    <row r="53" spans="1:26" ht="12.75">
      <c r="A53" s="404">
        <v>49</v>
      </c>
      <c r="B53" s="556" t="s">
        <v>349</v>
      </c>
      <c r="C53" s="548">
        <f>'Table 3 Levels 1&amp;2'!AG56</f>
        <v>67701088.887136</v>
      </c>
      <c r="D53" s="9">
        <f>C53/'Table 3 Levels 1&amp;2'!C56</f>
        <v>4679.044086470109</v>
      </c>
      <c r="E53" s="568">
        <f t="shared" si="6"/>
        <v>37</v>
      </c>
      <c r="F53" s="572">
        <f>'[6]Table 3 Levels 1&amp;2'!AG56</f>
        <v>69695244.360816</v>
      </c>
      <c r="G53" s="572">
        <f>'[6]Table 3 Levels 1&amp;2'!AH56</f>
        <v>4744</v>
      </c>
      <c r="H53" s="552">
        <f t="shared" si="7"/>
        <v>-1994155.4736800045</v>
      </c>
      <c r="I53" s="561">
        <f t="shared" si="1"/>
        <v>0</v>
      </c>
      <c r="J53" s="53">
        <f>I53/'Table 3 Levels 1&amp;2'!C56</f>
        <v>0</v>
      </c>
      <c r="K53" s="53">
        <f t="shared" si="2"/>
        <v>-1994155.4736800045</v>
      </c>
      <c r="L53" s="609">
        <f t="shared" si="3"/>
        <v>1</v>
      </c>
      <c r="M53" s="864">
        <f>IF(I53&lt;0,0,(ROUND(D53*'Table 8 Membership, 2.1.09'!V53,0)*-1))</f>
        <v>0</v>
      </c>
      <c r="N53" s="9">
        <f t="shared" si="8"/>
        <v>0</v>
      </c>
      <c r="O53" s="274">
        <f t="shared" si="9"/>
        <v>0</v>
      </c>
      <c r="P53" s="302">
        <f t="shared" si="10"/>
        <v>0</v>
      </c>
      <c r="Q53" s="300">
        <f>'[11]City-Parish School Districts'!J56</f>
        <v>44686.761149443475</v>
      </c>
      <c r="R53" s="277">
        <f t="shared" si="11"/>
        <v>0</v>
      </c>
      <c r="S53" s="277"/>
      <c r="T53" s="567">
        <f t="shared" si="4"/>
        <v>0</v>
      </c>
      <c r="U53" s="667">
        <f t="shared" si="12"/>
        <v>0</v>
      </c>
      <c r="V53" s="306">
        <f>'[12]PEP Excluding State Employees08'!S58</f>
        <v>1282.0155677655675</v>
      </c>
      <c r="W53" s="562">
        <f t="shared" si="13"/>
        <v>0</v>
      </c>
      <c r="Y53" s="728"/>
      <c r="Z53" s="444"/>
    </row>
    <row r="54" spans="1:26" ht="12.75">
      <c r="A54" s="405">
        <v>50</v>
      </c>
      <c r="B54" s="557" t="s">
        <v>350</v>
      </c>
      <c r="C54" s="549">
        <f>'Table 3 Levels 1&amp;2'!AG57</f>
        <v>39050936.053552</v>
      </c>
      <c r="D54" s="86">
        <f>C54/'Table 3 Levels 1&amp;2'!C57</f>
        <v>4906.512885230808</v>
      </c>
      <c r="E54" s="573">
        <f t="shared" si="6"/>
        <v>33</v>
      </c>
      <c r="F54" s="574">
        <f>'[6]Table 3 Levels 1&amp;2'!AG57</f>
        <v>39803224.957664</v>
      </c>
      <c r="G54" s="575">
        <f>'[6]Table 3 Levels 1&amp;2'!AH57</f>
        <v>4933</v>
      </c>
      <c r="H54" s="553">
        <f t="shared" si="7"/>
        <v>-752288.9041119963</v>
      </c>
      <c r="I54" s="563">
        <f t="shared" si="1"/>
        <v>0</v>
      </c>
      <c r="J54" s="150">
        <f>I54/'Table 3 Levels 1&amp;2'!C57</f>
        <v>0</v>
      </c>
      <c r="K54" s="150">
        <f t="shared" si="2"/>
        <v>-752288.9041119963</v>
      </c>
      <c r="L54" s="610">
        <f t="shared" si="3"/>
        <v>1</v>
      </c>
      <c r="M54" s="865">
        <f>IF(I54&lt;0,0,(ROUND(D54*'Table 8 Membership, 2.1.09'!V54,0)*-1))</f>
        <v>0</v>
      </c>
      <c r="N54" s="86">
        <f t="shared" si="8"/>
        <v>0</v>
      </c>
      <c r="O54" s="275">
        <f t="shared" si="9"/>
        <v>0</v>
      </c>
      <c r="P54" s="303">
        <f t="shared" si="10"/>
        <v>0</v>
      </c>
      <c r="Q54" s="498">
        <f>'[11]City-Parish School Districts'!J57</f>
        <v>48703.68036907989</v>
      </c>
      <c r="R54" s="278">
        <f t="shared" si="11"/>
        <v>0</v>
      </c>
      <c r="S54" s="278"/>
      <c r="T54" s="569">
        <f t="shared" si="4"/>
        <v>0</v>
      </c>
      <c r="U54" s="668">
        <f t="shared" si="12"/>
        <v>0</v>
      </c>
      <c r="V54" s="307">
        <f>'[12]PEP Excluding State Employees08'!S59</f>
        <v>662.7007456828883</v>
      </c>
      <c r="W54" s="564">
        <f t="shared" si="13"/>
        <v>0</v>
      </c>
      <c r="Y54" s="728"/>
      <c r="Z54" s="444"/>
    </row>
    <row r="55" spans="1:26" ht="12.75">
      <c r="A55" s="404">
        <v>51</v>
      </c>
      <c r="B55" s="556" t="s">
        <v>351</v>
      </c>
      <c r="C55" s="548">
        <f>'Table 3 Levels 1&amp;2'!AG58</f>
        <v>41150246.41236</v>
      </c>
      <c r="D55" s="9">
        <f>C55/'Table 3 Levels 1&amp;2'!C58</f>
        <v>4501.7226137577945</v>
      </c>
      <c r="E55" s="568">
        <f t="shared" si="6"/>
        <v>42</v>
      </c>
      <c r="F55" s="572">
        <f>'[6]Table 3 Levels 1&amp;2'!AG58</f>
        <v>41385038.643272</v>
      </c>
      <c r="G55" s="572">
        <f>'[6]Table 3 Levels 1&amp;2'!AH58</f>
        <v>4476</v>
      </c>
      <c r="H55" s="552">
        <f t="shared" si="7"/>
        <v>-234792.23091199994</v>
      </c>
      <c r="I55" s="561">
        <f t="shared" si="1"/>
        <v>0</v>
      </c>
      <c r="J55" s="53">
        <f>I55/'Table 3 Levels 1&amp;2'!C58</f>
        <v>0</v>
      </c>
      <c r="K55" s="53">
        <f t="shared" si="2"/>
        <v>-234792.23091199994</v>
      </c>
      <c r="L55" s="609">
        <f t="shared" si="3"/>
        <v>1</v>
      </c>
      <c r="M55" s="864">
        <f>IF(I55&lt;0,0,(ROUND(D55*'Table 8 Membership, 2.1.09'!V55,0)*-1))</f>
        <v>0</v>
      </c>
      <c r="N55" s="9">
        <f t="shared" si="8"/>
        <v>0</v>
      </c>
      <c r="O55" s="274">
        <f t="shared" si="9"/>
        <v>0</v>
      </c>
      <c r="P55" s="302">
        <f t="shared" si="10"/>
        <v>0</v>
      </c>
      <c r="Q55" s="300">
        <f>'[11]City-Parish School Districts'!J58</f>
        <v>46728.53681858166</v>
      </c>
      <c r="R55" s="277">
        <f t="shared" si="11"/>
        <v>0</v>
      </c>
      <c r="S55" s="277"/>
      <c r="T55" s="567">
        <f t="shared" si="4"/>
        <v>0</v>
      </c>
      <c r="U55" s="667">
        <f t="shared" si="12"/>
        <v>0</v>
      </c>
      <c r="V55" s="306">
        <f>'[12]PEP Excluding State Employees08'!S60</f>
        <v>914.7707188134805</v>
      </c>
      <c r="W55" s="562">
        <f t="shared" si="13"/>
        <v>0</v>
      </c>
      <c r="Y55" s="728"/>
      <c r="Z55" s="444"/>
    </row>
    <row r="56" spans="1:26" ht="12.75">
      <c r="A56" s="404">
        <v>52</v>
      </c>
      <c r="B56" s="556" t="s">
        <v>352</v>
      </c>
      <c r="C56" s="548">
        <f>'Table 3 Levels 1&amp;2'!AG59</f>
        <v>156786988.4770792</v>
      </c>
      <c r="D56" s="9">
        <f>C56/'Table 3 Levels 1&amp;2'!C59</f>
        <v>4498.522034748205</v>
      </c>
      <c r="E56" s="568">
        <f t="shared" si="6"/>
        <v>43</v>
      </c>
      <c r="F56" s="572">
        <f>'[6]Table 3 Levels 1&amp;2'!AG59</f>
        <v>152848625.08914</v>
      </c>
      <c r="G56" s="572">
        <f>'[6]Table 3 Levels 1&amp;2'!AH59</f>
        <v>4420</v>
      </c>
      <c r="H56" s="552">
        <f t="shared" si="7"/>
        <v>3938363.3879392147</v>
      </c>
      <c r="I56" s="561">
        <f t="shared" si="1"/>
        <v>3938363.3879392147</v>
      </c>
      <c r="J56" s="53">
        <f>I56/'Table 3 Levels 1&amp;2'!C59</f>
        <v>112.99926514042448</v>
      </c>
      <c r="K56" s="53">
        <f t="shared" si="2"/>
        <v>0</v>
      </c>
      <c r="L56" s="609">
        <f t="shared" si="3"/>
        <v>0</v>
      </c>
      <c r="M56" s="864">
        <f>IF(I56&lt;0,0,(ROUND(D56*'Table 8 Membership, 2.1.09'!V56,0)*-1))</f>
        <v>-1201105</v>
      </c>
      <c r="N56" s="9">
        <f t="shared" si="8"/>
        <v>2737258.3879392147</v>
      </c>
      <c r="O56" s="274">
        <f t="shared" si="9"/>
        <v>1</v>
      </c>
      <c r="P56" s="302">
        <f t="shared" si="10"/>
        <v>1368629</v>
      </c>
      <c r="Q56" s="497">
        <f>'[11]City-Parish School Districts'!J59</f>
        <v>51744.04818004396</v>
      </c>
      <c r="R56" s="277">
        <f t="shared" si="11"/>
        <v>0</v>
      </c>
      <c r="S56" s="277"/>
      <c r="T56" s="567">
        <f t="shared" si="4"/>
        <v>0</v>
      </c>
      <c r="U56" s="667">
        <f t="shared" si="12"/>
        <v>0</v>
      </c>
      <c r="V56" s="306">
        <f>'[12]PEP Excluding State Employees08'!S61</f>
        <v>3174.769997851893</v>
      </c>
      <c r="W56" s="562">
        <f t="shared" si="13"/>
        <v>0</v>
      </c>
      <c r="Y56" s="728"/>
      <c r="Z56" s="444"/>
    </row>
    <row r="57" spans="1:26" ht="12.75">
      <c r="A57" s="404">
        <v>53</v>
      </c>
      <c r="B57" s="556" t="s">
        <v>353</v>
      </c>
      <c r="C57" s="548">
        <f>'Table 3 Levels 1&amp;2'!AG60</f>
        <v>86648942.16413599</v>
      </c>
      <c r="D57" s="9">
        <f>C57/'Table 3 Levels 1&amp;2'!C60</f>
        <v>4659.296777121901</v>
      </c>
      <c r="E57" s="568">
        <f t="shared" si="6"/>
        <v>38</v>
      </c>
      <c r="F57" s="572">
        <f>'[6]Table 3 Levels 1&amp;2'!AG60</f>
        <v>86380587.56672001</v>
      </c>
      <c r="G57" s="572">
        <f>'[6]Table 3 Levels 1&amp;2'!AH60</f>
        <v>4590</v>
      </c>
      <c r="H57" s="552">
        <f t="shared" si="7"/>
        <v>268354.5974159837</v>
      </c>
      <c r="I57" s="561">
        <f t="shared" si="1"/>
        <v>268354.5974159837</v>
      </c>
      <c r="J57" s="53">
        <f>I57/'Table 3 Levels 1&amp;2'!C60</f>
        <v>14.429993946119465</v>
      </c>
      <c r="K57" s="53">
        <f t="shared" si="2"/>
        <v>0</v>
      </c>
      <c r="L57" s="609">
        <f t="shared" si="3"/>
        <v>0</v>
      </c>
      <c r="M57" s="864">
        <f>IF(I57&lt;0,0,(ROUND(D57*'Table 8 Membership, 2.1.09'!V57,0)*-1))</f>
        <v>0</v>
      </c>
      <c r="N57" s="9">
        <f t="shared" si="8"/>
        <v>268354.5974159837</v>
      </c>
      <c r="O57" s="274">
        <f t="shared" si="9"/>
        <v>1</v>
      </c>
      <c r="P57" s="302">
        <f t="shared" si="10"/>
        <v>134177</v>
      </c>
      <c r="Q57" s="497">
        <f>'[11]City-Parish School Districts'!J60</f>
        <v>48385.979880026505</v>
      </c>
      <c r="R57" s="277">
        <f t="shared" si="11"/>
        <v>0</v>
      </c>
      <c r="S57" s="277"/>
      <c r="T57" s="567">
        <f t="shared" si="4"/>
        <v>0</v>
      </c>
      <c r="U57" s="667">
        <f t="shared" si="12"/>
        <v>0</v>
      </c>
      <c r="V57" s="306">
        <f>'[12]PEP Excluding State Employees08'!S62</f>
        <v>1478.9977876106195</v>
      </c>
      <c r="W57" s="562">
        <f t="shared" si="13"/>
        <v>0</v>
      </c>
      <c r="Y57" s="728"/>
      <c r="Z57" s="444"/>
    </row>
    <row r="58" spans="1:26" ht="12.75">
      <c r="A58" s="404">
        <v>54</v>
      </c>
      <c r="B58" s="556" t="s">
        <v>354</v>
      </c>
      <c r="C58" s="548">
        <f>'Table 3 Levels 1&amp;2'!AG61</f>
        <v>3886533.616056</v>
      </c>
      <c r="D58" s="9">
        <f>C58/'Table 3 Levels 1&amp;2'!C61</f>
        <v>5428.119575497207</v>
      </c>
      <c r="E58" s="568">
        <f t="shared" si="6"/>
        <v>19</v>
      </c>
      <c r="F58" s="572">
        <f>'[6]Table 3 Levels 1&amp;2'!AG61</f>
        <v>3977766.81</v>
      </c>
      <c r="G58" s="572">
        <f>'[6]Table 3 Levels 1&amp;2'!AH61</f>
        <v>5449</v>
      </c>
      <c r="H58" s="552">
        <f t="shared" si="7"/>
        <v>-91233.19394400017</v>
      </c>
      <c r="I58" s="561">
        <f t="shared" si="1"/>
        <v>0</v>
      </c>
      <c r="J58" s="53">
        <f>I58/'Table 3 Levels 1&amp;2'!C61</f>
        <v>0</v>
      </c>
      <c r="K58" s="53">
        <f t="shared" si="2"/>
        <v>-91233.19394400017</v>
      </c>
      <c r="L58" s="609">
        <f t="shared" si="3"/>
        <v>1</v>
      </c>
      <c r="M58" s="864">
        <f>IF(I58&lt;0,0,(ROUND(D58*'Table 8 Membership, 2.1.09'!V58,0)*-1))</f>
        <v>0</v>
      </c>
      <c r="N58" s="9">
        <f t="shared" si="8"/>
        <v>0</v>
      </c>
      <c r="O58" s="274">
        <f t="shared" si="9"/>
        <v>0</v>
      </c>
      <c r="P58" s="302">
        <f t="shared" si="10"/>
        <v>0</v>
      </c>
      <c r="Q58" s="300">
        <f>'[11]City-Parish School Districts'!J61</f>
        <v>35136.25</v>
      </c>
      <c r="R58" s="277">
        <f t="shared" si="11"/>
        <v>0</v>
      </c>
      <c r="S58" s="277"/>
      <c r="T58" s="567">
        <f t="shared" si="4"/>
        <v>0</v>
      </c>
      <c r="U58" s="667">
        <f t="shared" si="12"/>
        <v>0</v>
      </c>
      <c r="V58" s="306">
        <f>'[12]PEP Excluding State Employees08'!S63</f>
        <v>80</v>
      </c>
      <c r="W58" s="562">
        <f t="shared" si="13"/>
        <v>0</v>
      </c>
      <c r="Y58" s="728"/>
      <c r="Z58" s="444"/>
    </row>
    <row r="59" spans="1:26" ht="12.75">
      <c r="A59" s="405">
        <v>55</v>
      </c>
      <c r="B59" s="557" t="s">
        <v>355</v>
      </c>
      <c r="C59" s="549">
        <f>'Table 3 Levels 1&amp;2'!AG62</f>
        <v>70503058.45834</v>
      </c>
      <c r="D59" s="86">
        <f>C59/'Table 3 Levels 1&amp;2'!C62</f>
        <v>3927.0906510521922</v>
      </c>
      <c r="E59" s="573">
        <f t="shared" si="6"/>
        <v>53</v>
      </c>
      <c r="F59" s="574">
        <f>'[6]Table 3 Levels 1&amp;2'!AG62</f>
        <v>71483126.366016</v>
      </c>
      <c r="G59" s="575">
        <f>'[6]Table 3 Levels 1&amp;2'!AH62</f>
        <v>3903</v>
      </c>
      <c r="H59" s="553">
        <f t="shared" si="7"/>
        <v>-980067.9076759964</v>
      </c>
      <c r="I59" s="563">
        <f t="shared" si="1"/>
        <v>0</v>
      </c>
      <c r="J59" s="150">
        <f>I59/'Table 3 Levels 1&amp;2'!C62</f>
        <v>0</v>
      </c>
      <c r="K59" s="150">
        <f t="shared" si="2"/>
        <v>-980067.9076759964</v>
      </c>
      <c r="L59" s="610">
        <f t="shared" si="3"/>
        <v>1</v>
      </c>
      <c r="M59" s="865">
        <f>IF(I59&lt;0,0,(ROUND(D59*'Table 8 Membership, 2.1.09'!V59,0)*-1))</f>
        <v>0</v>
      </c>
      <c r="N59" s="86">
        <f t="shared" si="8"/>
        <v>0</v>
      </c>
      <c r="O59" s="275">
        <f t="shared" si="9"/>
        <v>0</v>
      </c>
      <c r="P59" s="303">
        <f t="shared" si="10"/>
        <v>0</v>
      </c>
      <c r="Q59" s="301">
        <f>'[11]City-Parish School Districts'!J62</f>
        <v>44219.18531224847</v>
      </c>
      <c r="R59" s="278">
        <f t="shared" si="11"/>
        <v>0</v>
      </c>
      <c r="S59" s="278"/>
      <c r="T59" s="569">
        <f t="shared" si="4"/>
        <v>0</v>
      </c>
      <c r="U59" s="668">
        <f t="shared" si="12"/>
        <v>0</v>
      </c>
      <c r="V59" s="307">
        <f>'[12]PEP Excluding State Employees08'!S64</f>
        <v>1756.1462824932257</v>
      </c>
      <c r="W59" s="564">
        <f t="shared" si="13"/>
        <v>0</v>
      </c>
      <c r="Y59" s="728"/>
      <c r="Z59" s="444"/>
    </row>
    <row r="60" spans="1:26" ht="12.75">
      <c r="A60" s="404">
        <v>56</v>
      </c>
      <c r="B60" s="556" t="s">
        <v>356</v>
      </c>
      <c r="C60" s="548">
        <f>'Table 3 Levels 1&amp;2'!AG63</f>
        <v>14080898.897744</v>
      </c>
      <c r="D60" s="9">
        <f>C60/'Table 3 Levels 1&amp;2'!C63</f>
        <v>5041.496203989975</v>
      </c>
      <c r="E60" s="568">
        <f t="shared" si="6"/>
        <v>30</v>
      </c>
      <c r="F60" s="572">
        <f>'[6]Table 3 Levels 1&amp;2'!AG63</f>
        <v>13719831.469659999</v>
      </c>
      <c r="G60" s="572">
        <f>'[6]Table 3 Levels 1&amp;2'!AH63</f>
        <v>4933</v>
      </c>
      <c r="H60" s="552">
        <f t="shared" si="7"/>
        <v>361067.42808400095</v>
      </c>
      <c r="I60" s="561">
        <f t="shared" si="1"/>
        <v>361067.42808400095</v>
      </c>
      <c r="J60" s="53">
        <f>I60/'Table 3 Levels 1&amp;2'!C63</f>
        <v>129.27584249337664</v>
      </c>
      <c r="K60" s="53">
        <f t="shared" si="2"/>
        <v>0</v>
      </c>
      <c r="L60" s="609">
        <f t="shared" si="3"/>
        <v>0</v>
      </c>
      <c r="M60" s="864">
        <f>IF(I60&lt;0,0,(ROUND(D60*'Table 8 Membership, 2.1.09'!V60,0)*-1))</f>
        <v>-55456</v>
      </c>
      <c r="N60" s="9">
        <f t="shared" si="8"/>
        <v>305611.42808400095</v>
      </c>
      <c r="O60" s="274">
        <f t="shared" si="9"/>
        <v>1</v>
      </c>
      <c r="P60" s="302">
        <f t="shared" si="10"/>
        <v>152806</v>
      </c>
      <c r="Q60" s="300">
        <f>'[11]City-Parish School Districts'!J63</f>
        <v>41017.26898357324</v>
      </c>
      <c r="R60" s="277">
        <f t="shared" si="11"/>
        <v>152806</v>
      </c>
      <c r="S60" s="277"/>
      <c r="T60" s="567">
        <f t="shared" si="4"/>
        <v>1</v>
      </c>
      <c r="U60" s="667">
        <f t="shared" si="12"/>
        <v>130659</v>
      </c>
      <c r="V60" s="306">
        <f>'[12]PEP Excluding State Employees08'!S65</f>
        <v>234.6405965757089</v>
      </c>
      <c r="W60" s="562">
        <f t="shared" si="13"/>
        <v>557</v>
      </c>
      <c r="Y60" s="728"/>
      <c r="Z60" s="444"/>
    </row>
    <row r="61" spans="1:26" ht="12.75">
      <c r="A61" s="404">
        <v>57</v>
      </c>
      <c r="B61" s="556" t="s">
        <v>357</v>
      </c>
      <c r="C61" s="548">
        <f>'Table 3 Levels 1&amp;2'!AG64</f>
        <v>30932131.363148</v>
      </c>
      <c r="D61" s="9">
        <f>C61/'Table 3 Levels 1&amp;2'!C64</f>
        <v>3605.984071245978</v>
      </c>
      <c r="E61" s="568">
        <f t="shared" si="6"/>
        <v>56</v>
      </c>
      <c r="F61" s="572">
        <f>'[6]Table 3 Levels 1&amp;2'!AG64</f>
        <v>33485264.529432</v>
      </c>
      <c r="G61" s="572">
        <f>'[6]Table 3 Levels 1&amp;2'!AH64</f>
        <v>3880</v>
      </c>
      <c r="H61" s="552">
        <f t="shared" si="7"/>
        <v>-2553133.1662839986</v>
      </c>
      <c r="I61" s="561">
        <f t="shared" si="1"/>
        <v>0</v>
      </c>
      <c r="J61" s="53">
        <f>I61/'Table 3 Levels 1&amp;2'!C64</f>
        <v>0</v>
      </c>
      <c r="K61" s="53">
        <f t="shared" si="2"/>
        <v>-2553133.1662839986</v>
      </c>
      <c r="L61" s="609">
        <f t="shared" si="3"/>
        <v>1</v>
      </c>
      <c r="M61" s="864">
        <f>IF(I61&lt;0,0,(ROUND(D61*'Table 8 Membership, 2.1.09'!V61,0)*-1))</f>
        <v>0</v>
      </c>
      <c r="N61" s="9">
        <f t="shared" si="8"/>
        <v>0</v>
      </c>
      <c r="O61" s="274">
        <f t="shared" si="9"/>
        <v>0</v>
      </c>
      <c r="P61" s="302">
        <f t="shared" si="10"/>
        <v>0</v>
      </c>
      <c r="Q61" s="300">
        <f>'[11]City-Parish School Districts'!J64</f>
        <v>46139.43164652352</v>
      </c>
      <c r="R61" s="277">
        <f t="shared" si="11"/>
        <v>0</v>
      </c>
      <c r="S61" s="277"/>
      <c r="T61" s="567">
        <f t="shared" si="4"/>
        <v>0</v>
      </c>
      <c r="U61" s="667">
        <f t="shared" si="12"/>
        <v>0</v>
      </c>
      <c r="V61" s="306">
        <f>'[12]PEP Excluding State Employees08'!S66</f>
        <v>795.827269096361</v>
      </c>
      <c r="W61" s="562">
        <f t="shared" si="13"/>
        <v>0</v>
      </c>
      <c r="Y61" s="728"/>
      <c r="Z61" s="444"/>
    </row>
    <row r="62" spans="1:26" ht="12.75">
      <c r="A62" s="404">
        <v>58</v>
      </c>
      <c r="B62" s="556" t="s">
        <v>358</v>
      </c>
      <c r="C62" s="548">
        <f>'Table 3 Levels 1&amp;2'!AG65</f>
        <v>48024443.586688</v>
      </c>
      <c r="D62" s="9">
        <f>C62/'Table 3 Levels 1&amp;2'!C65</f>
        <v>5273.354956263094</v>
      </c>
      <c r="E62" s="568">
        <f t="shared" si="6"/>
        <v>26</v>
      </c>
      <c r="F62" s="572">
        <f>'[6]Table 3 Levels 1&amp;2'!AG65</f>
        <v>46528732.3656</v>
      </c>
      <c r="G62" s="572">
        <f>'[6]Table 3 Levels 1&amp;2'!AH65</f>
        <v>5244</v>
      </c>
      <c r="H62" s="552">
        <f t="shared" si="7"/>
        <v>1495711.2210879996</v>
      </c>
      <c r="I62" s="561">
        <f t="shared" si="1"/>
        <v>1495711.2210879996</v>
      </c>
      <c r="J62" s="53">
        <f>I62/'Table 3 Levels 1&amp;2'!C65</f>
        <v>164.23753388470402</v>
      </c>
      <c r="K62" s="53">
        <f t="shared" si="2"/>
        <v>0</v>
      </c>
      <c r="L62" s="609">
        <f t="shared" si="3"/>
        <v>0</v>
      </c>
      <c r="M62" s="864">
        <f>IF(I62&lt;0,0,(ROUND(D62*'Table 8 Membership, 2.1.09'!V62,0)*-1))</f>
        <v>-1239238</v>
      </c>
      <c r="N62" s="9">
        <f t="shared" si="8"/>
        <v>256473.22108799964</v>
      </c>
      <c r="O62" s="274">
        <f t="shared" si="9"/>
        <v>1</v>
      </c>
      <c r="P62" s="302">
        <f t="shared" si="10"/>
        <v>128237</v>
      </c>
      <c r="Q62" s="300">
        <f>'[11]City-Parish School Districts'!J65</f>
        <v>46834.33690233505</v>
      </c>
      <c r="R62" s="277">
        <f t="shared" si="11"/>
        <v>128237</v>
      </c>
      <c r="S62" s="277"/>
      <c r="T62" s="567">
        <f t="shared" si="4"/>
        <v>1</v>
      </c>
      <c r="U62" s="667">
        <f t="shared" si="12"/>
        <v>109651</v>
      </c>
      <c r="V62" s="306">
        <f>'[12]PEP Excluding State Employees08'!S67</f>
        <v>751.9999999999999</v>
      </c>
      <c r="W62" s="562">
        <f t="shared" si="13"/>
        <v>146</v>
      </c>
      <c r="Y62" s="728"/>
      <c r="Z62" s="444"/>
    </row>
    <row r="63" spans="1:26" ht="12.75">
      <c r="A63" s="404">
        <v>59</v>
      </c>
      <c r="B63" s="556" t="s">
        <v>359</v>
      </c>
      <c r="C63" s="548">
        <f>'Table 3 Levels 1&amp;2'!AG66</f>
        <v>30458281.442828</v>
      </c>
      <c r="D63" s="9">
        <f>C63/'Table 3 Levels 1&amp;2'!C66</f>
        <v>6039.714741786238</v>
      </c>
      <c r="E63" s="568">
        <f t="shared" si="6"/>
        <v>3</v>
      </c>
      <c r="F63" s="572">
        <f>'[6]Table 3 Levels 1&amp;2'!AG66</f>
        <v>29909175.2031</v>
      </c>
      <c r="G63" s="572">
        <f>'[6]Table 3 Levels 1&amp;2'!AH66</f>
        <v>5950</v>
      </c>
      <c r="H63" s="552">
        <f t="shared" si="7"/>
        <v>549106.239728</v>
      </c>
      <c r="I63" s="561">
        <f t="shared" si="1"/>
        <v>549106.239728</v>
      </c>
      <c r="J63" s="53">
        <f>I63/'Table 3 Levels 1&amp;2'!C66</f>
        <v>108.88483833591117</v>
      </c>
      <c r="K63" s="53">
        <f t="shared" si="2"/>
        <v>0</v>
      </c>
      <c r="L63" s="609">
        <f t="shared" si="3"/>
        <v>0</v>
      </c>
      <c r="M63" s="864">
        <f>IF(I63&lt;0,0,(ROUND(D63*'Table 8 Membership, 2.1.09'!V63,0)*-1))</f>
        <v>-96635</v>
      </c>
      <c r="N63" s="9">
        <f t="shared" si="8"/>
        <v>452471.239728</v>
      </c>
      <c r="O63" s="274">
        <f t="shared" si="9"/>
        <v>1</v>
      </c>
      <c r="P63" s="302">
        <f t="shared" si="10"/>
        <v>226236</v>
      </c>
      <c r="Q63" s="300">
        <f>'[11]City-Parish School Districts'!J66</f>
        <v>44162.17463086635</v>
      </c>
      <c r="R63" s="277">
        <f t="shared" si="11"/>
        <v>226236</v>
      </c>
      <c r="S63" s="277"/>
      <c r="T63" s="567">
        <f t="shared" si="4"/>
        <v>1</v>
      </c>
      <c r="U63" s="667">
        <f t="shared" si="12"/>
        <v>193447</v>
      </c>
      <c r="V63" s="306">
        <f>'[12]PEP Excluding State Employees08'!S68</f>
        <v>447.99999999999994</v>
      </c>
      <c r="W63" s="562">
        <f t="shared" si="13"/>
        <v>432</v>
      </c>
      <c r="Y63" s="728"/>
      <c r="Z63" s="444"/>
    </row>
    <row r="64" spans="1:26" ht="12.75">
      <c r="A64" s="405">
        <v>60</v>
      </c>
      <c r="B64" s="557" t="s">
        <v>360</v>
      </c>
      <c r="C64" s="549">
        <f>'Table 3 Levels 1&amp;2'!AG67</f>
        <v>34266678.7841184</v>
      </c>
      <c r="D64" s="86">
        <f>C64/'Table 3 Levels 1&amp;2'!C67</f>
        <v>4957.563481498611</v>
      </c>
      <c r="E64" s="573">
        <f t="shared" si="6"/>
        <v>31</v>
      </c>
      <c r="F64" s="574">
        <f>'[6]Table 3 Levels 1&amp;2'!AG67</f>
        <v>35171307.080448</v>
      </c>
      <c r="G64" s="575">
        <f>'[6]Table 3 Levels 1&amp;2'!AH67</f>
        <v>5037</v>
      </c>
      <c r="H64" s="553">
        <f t="shared" si="7"/>
        <v>-904628.2963296026</v>
      </c>
      <c r="I64" s="563">
        <f t="shared" si="1"/>
        <v>0</v>
      </c>
      <c r="J64" s="150">
        <f>I64/'Table 3 Levels 1&amp;2'!C67</f>
        <v>0</v>
      </c>
      <c r="K64" s="150">
        <f t="shared" si="2"/>
        <v>-904628.2963296026</v>
      </c>
      <c r="L64" s="610">
        <f t="shared" si="3"/>
        <v>1</v>
      </c>
      <c r="M64" s="865">
        <f>IF(I64&lt;0,0,(ROUND(D64*'Table 8 Membership, 2.1.09'!V64,0)*-1))</f>
        <v>0</v>
      </c>
      <c r="N64" s="86">
        <f t="shared" si="8"/>
        <v>0</v>
      </c>
      <c r="O64" s="275">
        <f t="shared" si="9"/>
        <v>0</v>
      </c>
      <c r="P64" s="303">
        <f t="shared" si="10"/>
        <v>0</v>
      </c>
      <c r="Q64" s="498">
        <f>'[11]City-Parish School Districts'!J67</f>
        <v>52148.68584070796</v>
      </c>
      <c r="R64" s="278">
        <f t="shared" si="11"/>
        <v>0</v>
      </c>
      <c r="S64" s="278"/>
      <c r="T64" s="569">
        <f t="shared" si="4"/>
        <v>0</v>
      </c>
      <c r="U64" s="668">
        <f t="shared" si="12"/>
        <v>0</v>
      </c>
      <c r="V64" s="307">
        <f>'[12]PEP Excluding State Employees08'!S69</f>
        <v>571.9866964665815</v>
      </c>
      <c r="W64" s="564">
        <f t="shared" si="13"/>
        <v>0</v>
      </c>
      <c r="Y64" s="728"/>
      <c r="Z64" s="444"/>
    </row>
    <row r="65" spans="1:26" ht="12.75">
      <c r="A65" s="404">
        <v>61</v>
      </c>
      <c r="B65" s="556" t="s">
        <v>361</v>
      </c>
      <c r="C65" s="548">
        <f>'Table 3 Levels 1&amp;2'!AG68</f>
        <v>10102890.89348</v>
      </c>
      <c r="D65" s="9">
        <f>C65/'Table 3 Levels 1&amp;2'!C68</f>
        <v>2916.5389415357963</v>
      </c>
      <c r="E65" s="568">
        <f t="shared" si="6"/>
        <v>60</v>
      </c>
      <c r="F65" s="572">
        <f>'[6]Table 3 Levels 1&amp;2'!AG68</f>
        <v>10858157.634986</v>
      </c>
      <c r="G65" s="572">
        <f>'[6]Table 3 Levels 1&amp;2'!AH68</f>
        <v>3168</v>
      </c>
      <c r="H65" s="552">
        <f t="shared" si="7"/>
        <v>-755266.741506001</v>
      </c>
      <c r="I65" s="561">
        <f t="shared" si="1"/>
        <v>0</v>
      </c>
      <c r="J65" s="53">
        <f>I65/'Table 3 Levels 1&amp;2'!C68</f>
        <v>0</v>
      </c>
      <c r="K65" s="53">
        <f t="shared" si="2"/>
        <v>-755266.741506001</v>
      </c>
      <c r="L65" s="609">
        <f t="shared" si="3"/>
        <v>1</v>
      </c>
      <c r="M65" s="864">
        <f>IF(I65&lt;0,0,(ROUND(D65*'Table 8 Membership, 2.1.09'!V65,0)*-1))</f>
        <v>-110828</v>
      </c>
      <c r="N65" s="9">
        <f t="shared" si="8"/>
        <v>0</v>
      </c>
      <c r="O65" s="274">
        <f t="shared" si="9"/>
        <v>0</v>
      </c>
      <c r="P65" s="302">
        <f t="shared" si="10"/>
        <v>0</v>
      </c>
      <c r="Q65" s="300">
        <f>'[11]City-Parish School Districts'!J68</f>
        <v>46573.26733383686</v>
      </c>
      <c r="R65" s="277">
        <f t="shared" si="11"/>
        <v>0</v>
      </c>
      <c r="S65" s="277"/>
      <c r="T65" s="567">
        <f t="shared" si="4"/>
        <v>0</v>
      </c>
      <c r="U65" s="667">
        <f t="shared" si="12"/>
        <v>0</v>
      </c>
      <c r="V65" s="306">
        <f>'[12]PEP Excluding State Employees08'!S70</f>
        <v>363.89000108802094</v>
      </c>
      <c r="W65" s="562">
        <f t="shared" si="13"/>
        <v>0</v>
      </c>
      <c r="Y65" s="728"/>
      <c r="Z65" s="444"/>
    </row>
    <row r="66" spans="1:26" ht="12.75">
      <c r="A66" s="404">
        <v>62</v>
      </c>
      <c r="B66" s="556" t="s">
        <v>362</v>
      </c>
      <c r="C66" s="548">
        <f>'Table 3 Levels 1&amp;2'!AG69</f>
        <v>11535908.698015999</v>
      </c>
      <c r="D66" s="9">
        <f>C66/'Table 3 Levels 1&amp;2'!C69</f>
        <v>5472.442456364326</v>
      </c>
      <c r="E66" s="568">
        <f t="shared" si="6"/>
        <v>17</v>
      </c>
      <c r="F66" s="572">
        <f>'[6]Table 3 Levels 1&amp;2'!AG69</f>
        <v>12079696.744528</v>
      </c>
      <c r="G66" s="572">
        <f>'[6]Table 3 Levels 1&amp;2'!AH69</f>
        <v>5501</v>
      </c>
      <c r="H66" s="552">
        <f t="shared" si="7"/>
        <v>-543788.0465120003</v>
      </c>
      <c r="I66" s="561">
        <f t="shared" si="1"/>
        <v>0</v>
      </c>
      <c r="J66" s="53">
        <f>I66/'Table 3 Levels 1&amp;2'!C69</f>
        <v>0</v>
      </c>
      <c r="K66" s="53">
        <f t="shared" si="2"/>
        <v>-543788.0465120003</v>
      </c>
      <c r="L66" s="609">
        <f t="shared" si="3"/>
        <v>1</v>
      </c>
      <c r="M66" s="864">
        <f>IF(I66&lt;0,0,(ROUND(D66*'Table 8 Membership, 2.1.09'!V66,0)*-1))</f>
        <v>0</v>
      </c>
      <c r="N66" s="9">
        <f t="shared" si="8"/>
        <v>0</v>
      </c>
      <c r="O66" s="274">
        <f t="shared" si="9"/>
        <v>0</v>
      </c>
      <c r="P66" s="302">
        <f t="shared" si="10"/>
        <v>0</v>
      </c>
      <c r="Q66" s="300">
        <f>'[11]City-Parish School Districts'!J69</f>
        <v>41186.07946891102</v>
      </c>
      <c r="R66" s="277">
        <f t="shared" si="11"/>
        <v>0</v>
      </c>
      <c r="S66" s="277"/>
      <c r="T66" s="567">
        <f t="shared" si="4"/>
        <v>0</v>
      </c>
      <c r="U66" s="667">
        <f t="shared" si="12"/>
        <v>0</v>
      </c>
      <c r="V66" s="306">
        <f>'[12]PEP Excluding State Employees08'!S71</f>
        <v>192.2106109457672</v>
      </c>
      <c r="W66" s="562">
        <f t="shared" si="13"/>
        <v>0</v>
      </c>
      <c r="Y66" s="728"/>
      <c r="Z66" s="444"/>
    </row>
    <row r="67" spans="1:26" ht="12.75">
      <c r="A67" s="404">
        <v>63</v>
      </c>
      <c r="B67" s="556" t="s">
        <v>363</v>
      </c>
      <c r="C67" s="548">
        <f>'Table 3 Levels 1&amp;2'!AG70</f>
        <v>5160429.0540304</v>
      </c>
      <c r="D67" s="9">
        <f>C67/'Table 3 Levels 1&amp;2'!C70</f>
        <v>2438.7660935871454</v>
      </c>
      <c r="E67" s="568">
        <f t="shared" si="6"/>
        <v>64</v>
      </c>
      <c r="F67" s="572">
        <f>'[6]Table 3 Levels 1&amp;2'!AG70</f>
        <v>4964104</v>
      </c>
      <c r="G67" s="572">
        <f>'[6]Table 3 Levels 1&amp;2'!AH70</f>
        <v>2295</v>
      </c>
      <c r="H67" s="552">
        <f t="shared" si="7"/>
        <v>196325.05403039977</v>
      </c>
      <c r="I67" s="561">
        <f t="shared" si="1"/>
        <v>196325.05403039977</v>
      </c>
      <c r="J67" s="53">
        <f>I67/'Table 3 Levels 1&amp;2'!C70</f>
        <v>92.78121646049138</v>
      </c>
      <c r="K67" s="53">
        <f t="shared" si="2"/>
        <v>0</v>
      </c>
      <c r="L67" s="609">
        <f t="shared" si="3"/>
        <v>0</v>
      </c>
      <c r="M67" s="864">
        <f>IF(I67&lt;0,0,(ROUND(D67*'Table 8 Membership, 2.1.09'!V67,0)*-1))</f>
        <v>0</v>
      </c>
      <c r="N67" s="9">
        <f t="shared" si="8"/>
        <v>196325.05403039977</v>
      </c>
      <c r="O67" s="274">
        <f t="shared" si="9"/>
        <v>1</v>
      </c>
      <c r="P67" s="302">
        <f t="shared" si="10"/>
        <v>98163</v>
      </c>
      <c r="Q67" s="497">
        <f>'[11]City-Parish School Districts'!J70</f>
        <v>52544.41541664142</v>
      </c>
      <c r="R67" s="277">
        <f t="shared" si="11"/>
        <v>0</v>
      </c>
      <c r="S67" s="277"/>
      <c r="T67" s="567">
        <f t="shared" si="4"/>
        <v>0</v>
      </c>
      <c r="U67" s="667">
        <f t="shared" si="12"/>
        <v>0</v>
      </c>
      <c r="V67" s="306">
        <f>'[12]PEP Excluding State Employees08'!S72</f>
        <v>233.92170937322146</v>
      </c>
      <c r="W67" s="562">
        <f t="shared" si="13"/>
        <v>0</v>
      </c>
      <c r="Y67" s="728"/>
      <c r="Z67" s="444"/>
    </row>
    <row r="68" spans="1:26" ht="12.75">
      <c r="A68" s="404">
        <v>64</v>
      </c>
      <c r="B68" s="556" t="s">
        <v>364</v>
      </c>
      <c r="C68" s="548">
        <f>'Table 3 Levels 1&amp;2'!AG71</f>
        <v>13713877.872396</v>
      </c>
      <c r="D68" s="9">
        <f>C68/'Table 3 Levels 1&amp;2'!C71</f>
        <v>5474.601945068263</v>
      </c>
      <c r="E68" s="568">
        <f t="shared" si="6"/>
        <v>16</v>
      </c>
      <c r="F68" s="572">
        <f>'[6]Table 3 Levels 1&amp;2'!AG71</f>
        <v>13901231.023168</v>
      </c>
      <c r="G68" s="572">
        <f>'[6]Table 3 Levels 1&amp;2'!AH71</f>
        <v>5445</v>
      </c>
      <c r="H68" s="552">
        <f t="shared" si="7"/>
        <v>-187353.15077199973</v>
      </c>
      <c r="I68" s="561">
        <f t="shared" si="1"/>
        <v>0</v>
      </c>
      <c r="J68" s="53">
        <f>I68/'Table 3 Levels 1&amp;2'!C71</f>
        <v>0</v>
      </c>
      <c r="K68" s="53">
        <f t="shared" si="2"/>
        <v>-187353.15077199973</v>
      </c>
      <c r="L68" s="609">
        <f t="shared" si="3"/>
        <v>1</v>
      </c>
      <c r="M68" s="864">
        <f>IF(I68&lt;0,0,(ROUND(D68*'Table 8 Membership, 2.1.09'!V68,0)*-1))</f>
        <v>0</v>
      </c>
      <c r="N68" s="9">
        <f t="shared" si="8"/>
        <v>0</v>
      </c>
      <c r="O68" s="274">
        <f t="shared" si="9"/>
        <v>0</v>
      </c>
      <c r="P68" s="302">
        <f t="shared" si="10"/>
        <v>0</v>
      </c>
      <c r="Q68" s="300">
        <f>'[11]City-Parish School Districts'!J71</f>
        <v>39393.81991331348</v>
      </c>
      <c r="R68" s="277">
        <f t="shared" si="11"/>
        <v>0</v>
      </c>
      <c r="S68" s="277"/>
      <c r="T68" s="567">
        <f t="shared" si="4"/>
        <v>0</v>
      </c>
      <c r="U68" s="667">
        <f t="shared" si="12"/>
        <v>0</v>
      </c>
      <c r="V68" s="306">
        <f>'[12]PEP Excluding State Employees08'!S73</f>
        <v>220.45714285714286</v>
      </c>
      <c r="W68" s="562">
        <f t="shared" si="13"/>
        <v>0</v>
      </c>
      <c r="Y68" s="728"/>
      <c r="Z68" s="444"/>
    </row>
    <row r="69" spans="1:26" ht="12.75">
      <c r="A69" s="405">
        <v>65</v>
      </c>
      <c r="B69" s="557" t="s">
        <v>365</v>
      </c>
      <c r="C69" s="549">
        <f>'Table 3 Levels 1&amp;2'!AG72</f>
        <v>34817093.568498</v>
      </c>
      <c r="D69" s="86">
        <f>C69/'Table 3 Levels 1&amp;2'!C72</f>
        <v>4192.305065442264</v>
      </c>
      <c r="E69" s="570">
        <f t="shared" si="6"/>
        <v>45</v>
      </c>
      <c r="F69" s="574">
        <f>'[6]Table 3 Levels 1&amp;2'!AG72</f>
        <v>35252763.005679205</v>
      </c>
      <c r="G69" s="575">
        <f>'[6]Table 3 Levels 1&amp;2'!AH72</f>
        <v>4155</v>
      </c>
      <c r="H69" s="553">
        <f t="shared" si="7"/>
        <v>-435669.43718120456</v>
      </c>
      <c r="I69" s="563">
        <f>IF(H69&gt;0,H69,0)</f>
        <v>0</v>
      </c>
      <c r="J69" s="150">
        <f>I69/'Table 3 Levels 1&amp;2'!C72</f>
        <v>0</v>
      </c>
      <c r="K69" s="150">
        <f>IF(H69&lt;0,H69,0)</f>
        <v>-435669.43718120456</v>
      </c>
      <c r="L69" s="610">
        <f>IF(K69&lt;0,1,0)</f>
        <v>1</v>
      </c>
      <c r="M69" s="865">
        <f>IF(I69&lt;0,0,(ROUND(D69*'Table 8 Membership, 2.1.09'!V69,0)*-1))</f>
        <v>0</v>
      </c>
      <c r="N69" s="86">
        <f t="shared" si="8"/>
        <v>0</v>
      </c>
      <c r="O69" s="275">
        <f t="shared" si="9"/>
        <v>0</v>
      </c>
      <c r="P69" s="303">
        <f t="shared" si="10"/>
        <v>0</v>
      </c>
      <c r="Q69" s="498">
        <f>'[11]City-Parish School Districts'!J72</f>
        <v>47653.331644242506</v>
      </c>
      <c r="R69" s="278">
        <f t="shared" si="11"/>
        <v>0</v>
      </c>
      <c r="S69" s="278"/>
      <c r="T69" s="569">
        <f>IF(R69&gt;0,1,0)</f>
        <v>0</v>
      </c>
      <c r="U69" s="668">
        <f t="shared" si="12"/>
        <v>0</v>
      </c>
      <c r="V69" s="307">
        <f>'[12]PEP Excluding State Employees08'!S74</f>
        <v>786.8828110929483</v>
      </c>
      <c r="W69" s="564">
        <f>ROUND(U69/V69,0)</f>
        <v>0</v>
      </c>
      <c r="Y69" s="728"/>
      <c r="Z69" s="444"/>
    </row>
    <row r="70" spans="1:26" ht="12.75">
      <c r="A70" s="406">
        <v>66</v>
      </c>
      <c r="B70" s="558" t="s">
        <v>366</v>
      </c>
      <c r="C70" s="550">
        <f>'Table 3 Levels 1&amp;2'!AG73</f>
        <v>12158890.815200001</v>
      </c>
      <c r="D70" s="166">
        <f>C70/'Table 3 Levels 1&amp;2'!C73</f>
        <v>5613.522998707295</v>
      </c>
      <c r="E70" s="566">
        <f>RANK(D70,$D$5:$D$73)</f>
        <v>12</v>
      </c>
      <c r="F70" s="571">
        <f>'[6]Table 3 Levels 1&amp;2'!AG73</f>
        <v>12219591.338624</v>
      </c>
      <c r="G70" s="572">
        <f>'[6]Table 3 Levels 1&amp;2'!AH73</f>
        <v>5660</v>
      </c>
      <c r="H70" s="551">
        <f>C70-F70</f>
        <v>-60700.52342399955</v>
      </c>
      <c r="I70" s="559">
        <f>IF(H70&gt;0,H70,0)</f>
        <v>0</v>
      </c>
      <c r="J70" s="167">
        <f>I70/'Table 3 Levels 1&amp;2'!C73</f>
        <v>0</v>
      </c>
      <c r="K70" s="167">
        <f>IF(H70&lt;0,H70,0)</f>
        <v>-60700.52342399955</v>
      </c>
      <c r="L70" s="608">
        <f>IF(K70&lt;0,1,0)</f>
        <v>1</v>
      </c>
      <c r="M70" s="863">
        <f>IF(I70&lt;0,0,(ROUND(D70*'Table 8 Membership, 2.1.09'!V70,0)*-1))</f>
        <v>-39295</v>
      </c>
      <c r="N70" s="166">
        <f>IF(I70+M70&gt;0,I70+M70,0)</f>
        <v>0</v>
      </c>
      <c r="O70" s="276">
        <f>IF(N70&gt;0,1,0)</f>
        <v>0</v>
      </c>
      <c r="P70" s="304">
        <f>ROUND((N70/2),0)</f>
        <v>0</v>
      </c>
      <c r="Q70" s="627">
        <f>'[11]City-Parish School Districts'!J73</f>
        <v>50652.608695652176</v>
      </c>
      <c r="R70" s="279">
        <f>IF(Q70&lt;$R$3,IF(P70&gt;0,P70,0),0)</f>
        <v>0</v>
      </c>
      <c r="S70" s="279"/>
      <c r="T70" s="565">
        <f>IF(R70&gt;0,1,0)</f>
        <v>0</v>
      </c>
      <c r="U70" s="666">
        <f>IF(R70&gt;0,ROUND(R70/1.1695,0),0)</f>
        <v>0</v>
      </c>
      <c r="V70" s="305">
        <f>'[12]PEP Excluding State Employees08'!S75</f>
        <v>213</v>
      </c>
      <c r="W70" s="560">
        <f>ROUND(U70/V70,0)</f>
        <v>0</v>
      </c>
      <c r="Y70" s="728"/>
      <c r="Z70" s="444"/>
    </row>
    <row r="71" spans="1:26" ht="12.75">
      <c r="A71" s="404">
        <v>67</v>
      </c>
      <c r="B71" s="182" t="s">
        <v>135</v>
      </c>
      <c r="C71" s="548">
        <f>'Table 3 Levels 1&amp;2'!AG74</f>
        <v>22040924.571678</v>
      </c>
      <c r="D71" s="9">
        <f>C71/'Table 3 Levels 1&amp;2'!C74</f>
        <v>4909.985424744486</v>
      </c>
      <c r="E71" s="568">
        <f>RANK(D71,$D$5:$D$73)</f>
        <v>32</v>
      </c>
      <c r="F71" s="572">
        <f>'[6]Table 3 Levels 1&amp;2'!AG74</f>
        <v>19803844.1265068</v>
      </c>
      <c r="G71" s="572">
        <f>'[6]Table 3 Levels 1&amp;2'!AH74</f>
        <v>4835</v>
      </c>
      <c r="H71" s="552">
        <f>C71-F71</f>
        <v>2237080.4451711997</v>
      </c>
      <c r="I71" s="561">
        <f>IF(H71&gt;0,H71,0)</f>
        <v>2237080.4451711997</v>
      </c>
      <c r="J71" s="53">
        <f>I71/'Table 3 Levels 1&amp;2'!C74</f>
        <v>498.34716978641114</v>
      </c>
      <c r="K71" s="53">
        <f>IF(H71&lt;0,H71,0)</f>
        <v>0</v>
      </c>
      <c r="L71" s="609">
        <f>IF(K71&lt;0,1,0)</f>
        <v>0</v>
      </c>
      <c r="M71" s="864">
        <f>IF(I71&lt;0,0,(ROUND(D71*'Table 8 Membership, 2.1.09'!V71,0)*-1))</f>
        <v>-1929624</v>
      </c>
      <c r="N71" s="9">
        <f>IF(I71+M71&gt;0,I71+M71,0)</f>
        <v>307456.44517119974</v>
      </c>
      <c r="O71" s="274">
        <f>IF(N71&gt;0,1,0)</f>
        <v>1</v>
      </c>
      <c r="P71" s="302">
        <f>ROUND((N71/2),0)</f>
        <v>153728</v>
      </c>
      <c r="Q71" s="497">
        <f>'[11]City-Parish School Districts'!J74</f>
        <v>52919.94854382624</v>
      </c>
      <c r="R71" s="277">
        <f>IF(Q71&lt;$R$3,IF(P71&gt;0,P71,0),0)</f>
        <v>0</v>
      </c>
      <c r="S71" s="277"/>
      <c r="T71" s="567">
        <f>IF(R71&gt;0,1,0)</f>
        <v>0</v>
      </c>
      <c r="U71" s="667">
        <f>IF(R71&gt;0,ROUND(R71/1.1695,0),0)</f>
        <v>0</v>
      </c>
      <c r="V71" s="306">
        <f>'[12]PEP Excluding State Employees08'!S76</f>
        <v>358.7855921855921</v>
      </c>
      <c r="W71" s="562">
        <f>ROUND(U71/V71,0)</f>
        <v>0</v>
      </c>
      <c r="Y71" s="728"/>
      <c r="Z71" s="444"/>
    </row>
    <row r="72" spans="1:26" ht="12.75">
      <c r="A72" s="404">
        <v>68</v>
      </c>
      <c r="B72" s="556" t="s">
        <v>132</v>
      </c>
      <c r="C72" s="548">
        <f>'Table 3 Levels 1&amp;2'!AG75</f>
        <v>10799948.3175808</v>
      </c>
      <c r="D72" s="9">
        <f>C72/'Table 3 Levels 1&amp;2'!C75</f>
        <v>5947.108104394714</v>
      </c>
      <c r="E72" s="568">
        <f>RANK(D72,$D$5:$D$73)</f>
        <v>4</v>
      </c>
      <c r="F72" s="572">
        <f>'[6]Table 3 Levels 1&amp;2'!AG75</f>
        <v>10577874.5305</v>
      </c>
      <c r="G72" s="572">
        <f>'[6]Table 3 Levels 1&amp;2'!AH75</f>
        <v>5633</v>
      </c>
      <c r="H72" s="552">
        <f>C72-F72</f>
        <v>222073.78708080016</v>
      </c>
      <c r="I72" s="561">
        <f>IF(H72&gt;0,H72,0)</f>
        <v>222073.78708080016</v>
      </c>
      <c r="J72" s="53">
        <f>I72/'Table 3 Levels 1&amp;2'!C75</f>
        <v>122.28732768766528</v>
      </c>
      <c r="K72" s="53">
        <f>IF(H72&lt;0,H72,0)</f>
        <v>0</v>
      </c>
      <c r="L72" s="609">
        <f>IF(K72&lt;0,1,0)</f>
        <v>0</v>
      </c>
      <c r="M72" s="864">
        <f>IF(I72&lt;0,0,(ROUND(D72*'Table 8 Membership, 2.1.09'!V72,0)*-1))</f>
        <v>0</v>
      </c>
      <c r="N72" s="9">
        <f>IF(I72+M72&gt;0,I72+M72,0)</f>
        <v>222073.78708080016</v>
      </c>
      <c r="O72" s="274">
        <f>IF(N72&gt;0,1,0)</f>
        <v>1</v>
      </c>
      <c r="P72" s="302">
        <f>ROUND((N72/2),0)</f>
        <v>111037</v>
      </c>
      <c r="Q72" s="300">
        <f>'[11]City-Parish School Districts'!J75</f>
        <v>45944.10784313725</v>
      </c>
      <c r="R72" s="277">
        <f>IF(Q72&lt;$R$3,IF(P72&gt;0,P72,0),0)</f>
        <v>111037</v>
      </c>
      <c r="S72" s="277"/>
      <c r="T72" s="567">
        <f>IF(R72&gt;0,1,0)</f>
        <v>1</v>
      </c>
      <c r="U72" s="667">
        <f>IF(R72&gt;0,ROUND(R72/1.1695,0),0)</f>
        <v>94944</v>
      </c>
      <c r="V72" s="306">
        <f>'[12]PEP Excluding State Employees08'!S77</f>
        <v>151.9009900990099</v>
      </c>
      <c r="W72" s="562">
        <f>ROUND(U72/V72,0)</f>
        <v>625</v>
      </c>
      <c r="Y72" s="728"/>
      <c r="Z72" s="444"/>
    </row>
    <row r="73" spans="1:26" ht="12.75">
      <c r="A73" s="405">
        <v>69</v>
      </c>
      <c r="B73" s="557" t="s">
        <v>447</v>
      </c>
      <c r="C73" s="549">
        <f>'Table 3 Levels 1&amp;2'!AG76</f>
        <v>16182460.156736</v>
      </c>
      <c r="D73" s="86">
        <f>C73/'Table 3 Levels 1&amp;2'!C76</f>
        <v>4573.900553062747</v>
      </c>
      <c r="E73" s="570">
        <f>RANK(D73,$D$5:$D$73)</f>
        <v>39</v>
      </c>
      <c r="F73" s="574">
        <f>'[6]Table 3 Levels 1&amp;2'!AG76</f>
        <v>14624558.753416</v>
      </c>
      <c r="G73" s="575">
        <f>'[6]Table 3 Levels 1&amp;2'!AH76</f>
        <v>4768</v>
      </c>
      <c r="H73" s="656">
        <f>C73-F73</f>
        <v>1557901.4033199996</v>
      </c>
      <c r="I73" s="657">
        <f>IF(H73&gt;0,H73,0)</f>
        <v>1557901.4033199996</v>
      </c>
      <c r="J73" s="658">
        <f>I73/'Table 3 Levels 1&amp;2'!C76</f>
        <v>440.33391840587893</v>
      </c>
      <c r="K73" s="658">
        <f>IF(H73&lt;0,H73,0)</f>
        <v>0</v>
      </c>
      <c r="L73" s="659">
        <f>IF(K73&lt;0,1,0)</f>
        <v>0</v>
      </c>
      <c r="M73" s="866">
        <f>IF(I73&lt;0,0,(ROUND(D73*'Table 8 Membership, 2.1.09'!V73,0)*-1))</f>
        <v>-2131438</v>
      </c>
      <c r="N73" s="660">
        <f>IF(I73+M73&gt;0,I73+M73,0)</f>
        <v>0</v>
      </c>
      <c r="O73" s="661">
        <f>IF(N73&gt;0,1,0)</f>
        <v>0</v>
      </c>
      <c r="P73" s="662">
        <f>ROUND((N73/2),0)</f>
        <v>0</v>
      </c>
      <c r="Q73" s="822">
        <f>'[11]City-Parish School Districts'!J76</f>
        <v>47287.0970464135</v>
      </c>
      <c r="R73" s="663">
        <f>IF(Q73&lt;$R$3,IF(P73&gt;0,P73,0),0)</f>
        <v>0</v>
      </c>
      <c r="S73" s="663"/>
      <c r="T73" s="664">
        <f>IF(R73&gt;0,1,0)</f>
        <v>0</v>
      </c>
      <c r="U73" s="669">
        <f>IF(R73&gt;0,ROUND(R73/1.1695,0),0)</f>
        <v>0</v>
      </c>
      <c r="V73" s="665">
        <f>'[12]PEP Excluding State Employees08'!S78</f>
        <v>284</v>
      </c>
      <c r="W73" s="430">
        <f>ROUND(U73/V73,0)</f>
        <v>0</v>
      </c>
      <c r="Y73" s="728"/>
      <c r="Z73" s="444"/>
    </row>
    <row r="74" spans="1:26" ht="13.5" thickBot="1">
      <c r="A74" s="592"/>
      <c r="B74" s="593" t="s">
        <v>367</v>
      </c>
      <c r="C74" s="594">
        <f>SUM(C5:C73)</f>
        <v>2663489616.1774225</v>
      </c>
      <c r="D74" s="595">
        <f>C74/'Table 3 Levels 1&amp;2'!C77</f>
        <v>4095.8489538166396</v>
      </c>
      <c r="E74" s="596"/>
      <c r="F74" s="597">
        <f>SUM(F5:F73)</f>
        <v>2651216452.261636</v>
      </c>
      <c r="G74" s="598">
        <f>'[6]Table 3 Levels 1&amp;2'!AH77</f>
        <v>4080</v>
      </c>
      <c r="H74" s="599">
        <f>SUM(H5:H73)</f>
        <v>12273163.915785577</v>
      </c>
      <c r="I74" s="594">
        <f>SUM(I5:I73)</f>
        <v>46768906.697153986</v>
      </c>
      <c r="J74" s="600">
        <f>I74/'Table 3 Levels 1&amp;2'!C77</f>
        <v>71.92007673061862</v>
      </c>
      <c r="K74" s="600">
        <f aca="true" t="shared" si="14" ref="K74:P74">SUM(K5:K73)</f>
        <v>-34495742.7813684</v>
      </c>
      <c r="L74" s="611">
        <f t="shared" si="14"/>
        <v>40</v>
      </c>
      <c r="M74" s="867">
        <f t="shared" si="14"/>
        <v>-17989078</v>
      </c>
      <c r="N74" s="595">
        <f t="shared" si="14"/>
        <v>32140849.485131174</v>
      </c>
      <c r="O74" s="601">
        <f t="shared" si="14"/>
        <v>27</v>
      </c>
      <c r="P74" s="599">
        <f t="shared" si="14"/>
        <v>16070427</v>
      </c>
      <c r="Q74" s="602">
        <f>'[11]City-Parish School Districts'!J77</f>
        <v>47232.96175541344</v>
      </c>
      <c r="R74" s="603">
        <f>SUM(R5:R73)</f>
        <v>6296275</v>
      </c>
      <c r="S74" s="603"/>
      <c r="T74" s="601">
        <f>SUM(T5:T73)</f>
        <v>17</v>
      </c>
      <c r="U74" s="600">
        <f>SUM(U5:U73)</f>
        <v>5383732</v>
      </c>
      <c r="V74" s="604">
        <f>SUM(V5:V73)</f>
        <v>57408.79607730003</v>
      </c>
      <c r="W74" s="605">
        <f>AVERAGE(W5:W73)</f>
        <v>186</v>
      </c>
      <c r="Y74" s="729"/>
      <c r="Z74" s="444"/>
    </row>
    <row r="75" ht="13.5" thickTop="1">
      <c r="A75" s="591"/>
    </row>
    <row r="78" ht="12.75">
      <c r="H78" s="77"/>
    </row>
  </sheetData>
  <sheetProtection/>
  <mergeCells count="26">
    <mergeCell ref="T2:T3"/>
    <mergeCell ref="O2:O3"/>
    <mergeCell ref="I2:I3"/>
    <mergeCell ref="C2:C3"/>
    <mergeCell ref="K2:K3"/>
    <mergeCell ref="L2:L3"/>
    <mergeCell ref="V1:W1"/>
    <mergeCell ref="U2:U3"/>
    <mergeCell ref="B1:B3"/>
    <mergeCell ref="C1:H1"/>
    <mergeCell ref="I1:L1"/>
    <mergeCell ref="M1:U1"/>
    <mergeCell ref="Q2:Q3"/>
    <mergeCell ref="E2:E3"/>
    <mergeCell ref="G2:G3"/>
    <mergeCell ref="J2:J3"/>
    <mergeCell ref="Y2:Y3"/>
    <mergeCell ref="A1:A3"/>
    <mergeCell ref="V2:V3"/>
    <mergeCell ref="W2:W3"/>
    <mergeCell ref="D2:D3"/>
    <mergeCell ref="F2:F3"/>
    <mergeCell ref="H2:H3"/>
    <mergeCell ref="M2:M3"/>
    <mergeCell ref="N2:N3"/>
    <mergeCell ref="P2:P3"/>
  </mergeCells>
  <printOptions horizontalCentered="1"/>
  <pageMargins left="0.37" right="0.37" top="1.16" bottom="0.57" header="0.32" footer="0.34"/>
  <pageSetup firstPageNumber="14" useFirstPageNumber="1" horizontalDpi="600" verticalDpi="600" orientation="portrait" paperSize="5" scale="82" r:id="rId1"/>
  <headerFooter alignWithMargins="0">
    <oddHeader>&amp;L&amp;"Arial,Bold"&amp;22Table 3A:    FY2008-2009 Budget Letter (Simulation 1)&amp;14
&amp;16Certificated Pay Raise Requirement</oddHeader>
    <oddFooter>&amp;R&amp;12&amp;P</oddFooter>
  </headerFooter>
  <colBreaks count="2" manualBreakCount="2">
    <brk id="8" max="65535" man="1"/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R150"/>
  <sheetViews>
    <sheetView view="pageBreakPreview" zoomScale="79" zoomScaleNormal="85" zoomScaleSheetLayoutView="79" zoomScalePageLayoutView="0" workbookViewId="0" topLeftCell="A1">
      <pane xSplit="2" ySplit="4" topLeftCell="C137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P1" sqref="P1:R16384"/>
    </sheetView>
  </sheetViews>
  <sheetFormatPr defaultColWidth="9.140625" defaultRowHeight="12.75"/>
  <cols>
    <col min="1" max="1" width="4.421875" style="0" customWidth="1"/>
    <col min="2" max="2" width="48.00390625" style="0" customWidth="1"/>
    <col min="3" max="3" width="14.421875" style="2" customWidth="1"/>
    <col min="4" max="5" width="13.8515625" style="2" customWidth="1"/>
    <col min="6" max="6" width="11.57421875" style="0" customWidth="1"/>
    <col min="7" max="7" width="11.57421875" style="634" customWidth="1"/>
    <col min="8" max="8" width="15.140625" style="2" customWidth="1"/>
    <col min="9" max="9" width="15.421875" style="2" customWidth="1"/>
    <col min="10" max="10" width="13.8515625" style="1069" customWidth="1"/>
    <col min="11" max="11" width="13.28125" style="6" customWidth="1"/>
    <col min="12" max="12" width="13.28125" style="547" customWidth="1"/>
    <col min="13" max="13" width="13.28125" style="6" customWidth="1"/>
    <col min="14" max="14" width="13.28125" style="2" customWidth="1"/>
    <col min="15" max="15" width="14.28125" style="6" customWidth="1"/>
    <col min="16" max="18" width="13.421875" style="2" hidden="1" customWidth="1"/>
  </cols>
  <sheetData>
    <row r="2" spans="1:18" ht="51" customHeight="1">
      <c r="A2" s="1454" t="s">
        <v>408</v>
      </c>
      <c r="B2" s="1453" t="s">
        <v>442</v>
      </c>
      <c r="C2" s="1453" t="s">
        <v>762</v>
      </c>
      <c r="D2" s="1480" t="s">
        <v>761</v>
      </c>
      <c r="E2" s="1480" t="s">
        <v>757</v>
      </c>
      <c r="F2" s="1488" t="s">
        <v>760</v>
      </c>
      <c r="G2" s="1489"/>
      <c r="H2" s="1480" t="s">
        <v>763</v>
      </c>
      <c r="I2" s="1480" t="s">
        <v>764</v>
      </c>
      <c r="J2" s="1482" t="s">
        <v>765</v>
      </c>
      <c r="K2" s="1484" t="s">
        <v>766</v>
      </c>
      <c r="L2" s="1490" t="s">
        <v>767</v>
      </c>
      <c r="M2" s="1484" t="s">
        <v>768</v>
      </c>
      <c r="N2" s="1480" t="s">
        <v>769</v>
      </c>
      <c r="O2" s="1484" t="s">
        <v>770</v>
      </c>
      <c r="P2" s="1486" t="s">
        <v>784</v>
      </c>
      <c r="Q2" s="1486" t="s">
        <v>782</v>
      </c>
      <c r="R2" s="1486" t="s">
        <v>783</v>
      </c>
    </row>
    <row r="3" spans="1:18" ht="92.25" customHeight="1">
      <c r="A3" s="1455"/>
      <c r="B3" s="1453"/>
      <c r="C3" s="1453"/>
      <c r="D3" s="1481"/>
      <c r="E3" s="1481"/>
      <c r="F3" s="1038" t="s">
        <v>758</v>
      </c>
      <c r="G3" s="1051" t="s">
        <v>759</v>
      </c>
      <c r="H3" s="1481"/>
      <c r="I3" s="1481"/>
      <c r="J3" s="1483"/>
      <c r="K3" s="1485"/>
      <c r="L3" s="1491"/>
      <c r="M3" s="1485"/>
      <c r="N3" s="1481"/>
      <c r="O3" s="1485"/>
      <c r="P3" s="1487"/>
      <c r="Q3" s="1487"/>
      <c r="R3" s="1487"/>
    </row>
    <row r="4" spans="1:18" ht="12.75">
      <c r="A4" s="140"/>
      <c r="B4" s="311"/>
      <c r="C4" s="311">
        <v>1</v>
      </c>
      <c r="D4" s="311">
        <f>C4+1</f>
        <v>2</v>
      </c>
      <c r="E4" s="311">
        <f aca="true" t="shared" si="0" ref="E4:O4">D4+1</f>
        <v>3</v>
      </c>
      <c r="F4" s="311">
        <f t="shared" si="0"/>
        <v>4</v>
      </c>
      <c r="G4" s="311">
        <f t="shared" si="0"/>
        <v>5</v>
      </c>
      <c r="H4" s="311">
        <f t="shared" si="0"/>
        <v>6</v>
      </c>
      <c r="I4" s="311">
        <f t="shared" si="0"/>
        <v>7</v>
      </c>
      <c r="J4" s="1125">
        <f t="shared" si="0"/>
        <v>8</v>
      </c>
      <c r="K4" s="1125">
        <f t="shared" si="0"/>
        <v>9</v>
      </c>
      <c r="L4" s="1125">
        <f t="shared" si="0"/>
        <v>10</v>
      </c>
      <c r="M4" s="1125">
        <f t="shared" si="0"/>
        <v>11</v>
      </c>
      <c r="N4" s="1125">
        <f t="shared" si="0"/>
        <v>12</v>
      </c>
      <c r="O4" s="1125">
        <f t="shared" si="0"/>
        <v>13</v>
      </c>
      <c r="P4" s="1125">
        <f>O4+1</f>
        <v>14</v>
      </c>
      <c r="Q4" s="1125">
        <f>P4+1</f>
        <v>15</v>
      </c>
      <c r="R4" s="1125">
        <f>Q4+1</f>
        <v>16</v>
      </c>
    </row>
    <row r="5" spans="1:18" s="1124" customFormat="1" ht="37.5" customHeight="1">
      <c r="A5" s="140"/>
      <c r="B5" s="311"/>
      <c r="C5" s="1126" t="s">
        <v>771</v>
      </c>
      <c r="D5" s="1126" t="s">
        <v>771</v>
      </c>
      <c r="E5" s="1126" t="s">
        <v>771</v>
      </c>
      <c r="F5" s="1126" t="s">
        <v>775</v>
      </c>
      <c r="G5" s="1126" t="s">
        <v>776</v>
      </c>
      <c r="H5" s="1126" t="s">
        <v>777</v>
      </c>
      <c r="I5" s="1127" t="s">
        <v>772</v>
      </c>
      <c r="J5" s="1128" t="s">
        <v>773</v>
      </c>
      <c r="K5" s="1129" t="s">
        <v>774</v>
      </c>
      <c r="L5" s="1130" t="s">
        <v>778</v>
      </c>
      <c r="M5" s="1130" t="s">
        <v>779</v>
      </c>
      <c r="N5" s="1129" t="s">
        <v>780</v>
      </c>
      <c r="O5" s="1127" t="s">
        <v>781</v>
      </c>
      <c r="P5" s="1126"/>
      <c r="Q5" s="1126"/>
      <c r="R5" s="1126"/>
    </row>
    <row r="6" spans="1:18" ht="12.75">
      <c r="A6" s="124">
        <v>1</v>
      </c>
      <c r="B6" s="124" t="s">
        <v>501</v>
      </c>
      <c r="C6" s="761">
        <f>'Table 3 Levels 1&amp;2'!C8</f>
        <v>8939</v>
      </c>
      <c r="D6" s="761">
        <f>'Table 8 Membership, 2.1.09'!R5</f>
        <v>8939</v>
      </c>
      <c r="E6" s="761">
        <f>'[18]1_MFP &amp; Funded Membership'!$U9</f>
        <v>9161</v>
      </c>
      <c r="F6" s="56">
        <f>E6-D6</f>
        <v>222</v>
      </c>
      <c r="G6" s="269">
        <f>IF(D6=0,1,(F6)/D6)</f>
        <v>0.02483499272849312</v>
      </c>
      <c r="H6" s="761">
        <f>IF(OR(G6&gt;0.99%=TRUE,F6&gt;49=TRUE),E6-D6,0)</f>
        <v>222</v>
      </c>
      <c r="I6" s="761">
        <f>C6-D6</f>
        <v>0</v>
      </c>
      <c r="J6" s="1107">
        <f>H6-I6</f>
        <v>222</v>
      </c>
      <c r="K6" s="1076">
        <f>'Table 3 Levels 1&amp;2'!AL8</f>
        <v>5018</v>
      </c>
      <c r="L6" s="1091">
        <f>'Table 4 Level 3'!W6+'Table 4 Level 3'!AA6</f>
        <v>311.62</v>
      </c>
      <c r="M6" s="1076">
        <f>'Table 4 Level 3'!AE6</f>
        <v>101.28</v>
      </c>
      <c r="N6" s="1076">
        <f>K6+L6+M6</f>
        <v>5430.9</v>
      </c>
      <c r="O6" s="1116">
        <f>J6*N6</f>
        <v>1205659.7999999998</v>
      </c>
      <c r="P6" s="1135">
        <f>IF(OR(G6&gt;0.99%=TRUE,F6&gt;49=TRUE),E6,D6)</f>
        <v>9161</v>
      </c>
      <c r="Q6" s="1135">
        <f aca="true" t="shared" si="1" ref="Q6:Q69">P6-C6</f>
        <v>222</v>
      </c>
      <c r="R6" s="1135">
        <f aca="true" t="shared" si="2" ref="R6:R69">P6-E6</f>
        <v>0</v>
      </c>
    </row>
    <row r="7" spans="1:18" ht="12.75">
      <c r="A7" s="124">
        <v>2</v>
      </c>
      <c r="B7" s="124" t="s">
        <v>502</v>
      </c>
      <c r="C7" s="761">
        <f>'Table 3 Levels 1&amp;2'!C9</f>
        <v>3995</v>
      </c>
      <c r="D7" s="761">
        <f>'Table 8 Membership, 2.1.09'!R6</f>
        <v>3995</v>
      </c>
      <c r="E7" s="761">
        <f>'[18]1_MFP &amp; Funded Membership'!$U10</f>
        <v>4011</v>
      </c>
      <c r="F7" s="1039">
        <f aca="true" t="shared" si="3" ref="F7:F70">E7-D7</f>
        <v>16</v>
      </c>
      <c r="G7" s="269">
        <f aca="true" t="shared" si="4" ref="G7:G70">IF(D7=0,1,(F7)/D7)</f>
        <v>0.004005006257822278</v>
      </c>
      <c r="H7" s="761">
        <f aca="true" t="shared" si="5" ref="H7:H70">IF(OR(G7&gt;0.99%=TRUE,F7&gt;49=TRUE),E7-D7,0)</f>
        <v>0</v>
      </c>
      <c r="I7" s="761">
        <f aca="true" t="shared" si="6" ref="I7:I70">C7-D7</f>
        <v>0</v>
      </c>
      <c r="J7" s="1107">
        <f aca="true" t="shared" si="7" ref="J7:J70">H7-I7</f>
        <v>0</v>
      </c>
      <c r="K7" s="1076">
        <f>'Table 3 Levels 1&amp;2'!AL9</f>
        <v>6317.648670242803</v>
      </c>
      <c r="L7" s="1091">
        <f>'Table 4 Level 3'!W7+'Table 4 Level 3'!AA7</f>
        <v>352.52</v>
      </c>
      <c r="M7" s="1076">
        <f>'Table 4 Level 3'!AE7</f>
        <v>125.63</v>
      </c>
      <c r="N7" s="1076">
        <f aca="true" t="shared" si="8" ref="N7:N70">K7+L7+M7</f>
        <v>6795.798670242803</v>
      </c>
      <c r="O7" s="1116">
        <f aca="true" t="shared" si="9" ref="O7:O70">J7*N7</f>
        <v>0</v>
      </c>
      <c r="P7" s="1135">
        <f aca="true" t="shared" si="10" ref="P7:P70">IF(OR(G7&gt;0.99%=TRUE,F7&gt;49=TRUE),E7,D7)</f>
        <v>3995</v>
      </c>
      <c r="Q7" s="1135">
        <f t="shared" si="1"/>
        <v>0</v>
      </c>
      <c r="R7" s="1135">
        <f t="shared" si="2"/>
        <v>-16</v>
      </c>
    </row>
    <row r="8" spans="1:18" ht="12.75">
      <c r="A8" s="124">
        <v>3</v>
      </c>
      <c r="B8" s="124" t="s">
        <v>503</v>
      </c>
      <c r="C8" s="762">
        <f>'Table 3 Levels 1&amp;2'!C10</f>
        <v>18662</v>
      </c>
      <c r="D8" s="762">
        <f>'Table 8 Membership, 2.1.09'!R7</f>
        <v>18662</v>
      </c>
      <c r="E8" s="762">
        <f>'[18]1_MFP &amp; Funded Membership'!$U11</f>
        <v>19066</v>
      </c>
      <c r="F8" s="1039">
        <f t="shared" si="3"/>
        <v>404</v>
      </c>
      <c r="G8" s="269">
        <f t="shared" si="4"/>
        <v>0.021648269210159683</v>
      </c>
      <c r="H8" s="762">
        <f t="shared" si="5"/>
        <v>404</v>
      </c>
      <c r="I8" s="762">
        <f t="shared" si="6"/>
        <v>0</v>
      </c>
      <c r="J8" s="1107">
        <f t="shared" si="7"/>
        <v>404</v>
      </c>
      <c r="K8" s="477">
        <f>'Table 3 Levels 1&amp;2'!AL10</f>
        <v>4324.031230153168</v>
      </c>
      <c r="L8" s="1092">
        <f>'Table 4 Level 3'!W8+'Table 4 Level 3'!AA8</f>
        <v>296.37</v>
      </c>
      <c r="M8" s="477">
        <f>'Table 4 Level 3'!AE8</f>
        <v>101.25</v>
      </c>
      <c r="N8" s="477">
        <f t="shared" si="8"/>
        <v>4721.6512301531675</v>
      </c>
      <c r="O8" s="1116">
        <f t="shared" si="9"/>
        <v>1907547.0969818796</v>
      </c>
      <c r="P8" s="1135">
        <f t="shared" si="10"/>
        <v>19066</v>
      </c>
      <c r="Q8" s="1135">
        <f t="shared" si="1"/>
        <v>404</v>
      </c>
      <c r="R8" s="1135">
        <f t="shared" si="2"/>
        <v>0</v>
      </c>
    </row>
    <row r="9" spans="1:18" ht="12.75">
      <c r="A9" s="124">
        <v>4</v>
      </c>
      <c r="B9" s="124" t="s">
        <v>504</v>
      </c>
      <c r="C9" s="762">
        <f>'Table 3 Levels 1&amp;2'!C11</f>
        <v>3761</v>
      </c>
      <c r="D9" s="762">
        <f>'Table 8 Membership, 2.1.09'!R8</f>
        <v>3761</v>
      </c>
      <c r="E9" s="762">
        <f>'[18]1_MFP &amp; Funded Membership'!$U12</f>
        <v>3717</v>
      </c>
      <c r="F9" s="1039">
        <f t="shared" si="3"/>
        <v>-44</v>
      </c>
      <c r="G9" s="269">
        <f t="shared" si="4"/>
        <v>-0.011699016219090667</v>
      </c>
      <c r="H9" s="762">
        <f t="shared" si="5"/>
        <v>0</v>
      </c>
      <c r="I9" s="762">
        <f t="shared" si="6"/>
        <v>0</v>
      </c>
      <c r="J9" s="1107">
        <f t="shared" si="7"/>
        <v>0</v>
      </c>
      <c r="K9" s="477">
        <f>'Table 3 Levels 1&amp;2'!AL11</f>
        <v>6276.02325447062</v>
      </c>
      <c r="L9" s="1092">
        <f>'Table 4 Level 3'!W9+'Table 4 Level 3'!AA9</f>
        <v>341.95000000000005</v>
      </c>
      <c r="M9" s="477">
        <f>'Table 4 Level 3'!AE9</f>
        <v>0</v>
      </c>
      <c r="N9" s="477">
        <f t="shared" si="8"/>
        <v>6617.973254470619</v>
      </c>
      <c r="O9" s="1116">
        <f t="shared" si="9"/>
        <v>0</v>
      </c>
      <c r="P9" s="1135">
        <f t="shared" si="10"/>
        <v>3761</v>
      </c>
      <c r="Q9" s="1135">
        <f t="shared" si="1"/>
        <v>0</v>
      </c>
      <c r="R9" s="1135">
        <f t="shared" si="2"/>
        <v>44</v>
      </c>
    </row>
    <row r="10" spans="1:18" ht="12.75">
      <c r="A10" s="125">
        <v>5</v>
      </c>
      <c r="B10" s="125" t="s">
        <v>505</v>
      </c>
      <c r="C10" s="763">
        <f>'Table 3 Levels 1&amp;2'!C12</f>
        <v>5917</v>
      </c>
      <c r="D10" s="763">
        <f>'Table 8 Membership, 2.1.09'!R9</f>
        <v>5917</v>
      </c>
      <c r="E10" s="763">
        <f>'[18]1_MFP &amp; Funded Membership'!$U13</f>
        <v>5930</v>
      </c>
      <c r="F10" s="1040">
        <f t="shared" si="3"/>
        <v>13</v>
      </c>
      <c r="G10" s="270">
        <f t="shared" si="4"/>
        <v>0.0021970593206016562</v>
      </c>
      <c r="H10" s="763">
        <f t="shared" si="5"/>
        <v>0</v>
      </c>
      <c r="I10" s="763">
        <f t="shared" si="6"/>
        <v>0</v>
      </c>
      <c r="J10" s="1108">
        <f t="shared" si="7"/>
        <v>0</v>
      </c>
      <c r="K10" s="1077">
        <f>'Table 3 Levels 1&amp;2'!AL12</f>
        <v>5252.380905184385</v>
      </c>
      <c r="L10" s="1093">
        <f>'Table 4 Level 3'!W10+'Table 4 Level 3'!AA10</f>
        <v>261.01</v>
      </c>
      <c r="M10" s="1077">
        <f>'Table 4 Level 3'!AE10</f>
        <v>0</v>
      </c>
      <c r="N10" s="1077">
        <f t="shared" si="8"/>
        <v>5513.390905184385</v>
      </c>
      <c r="O10" s="1117">
        <f t="shared" si="9"/>
        <v>0</v>
      </c>
      <c r="P10" s="1136">
        <f t="shared" si="10"/>
        <v>5917</v>
      </c>
      <c r="Q10" s="1136">
        <f t="shared" si="1"/>
        <v>0</v>
      </c>
      <c r="R10" s="1136">
        <f t="shared" si="2"/>
        <v>-13</v>
      </c>
    </row>
    <row r="11" spans="1:18" ht="12.75">
      <c r="A11" s="124">
        <v>6</v>
      </c>
      <c r="B11" s="124" t="s">
        <v>506</v>
      </c>
      <c r="C11" s="761">
        <f>'Table 3 Levels 1&amp;2'!C13</f>
        <v>5910</v>
      </c>
      <c r="D11" s="761">
        <f>'Table 8 Membership, 2.1.09'!R10</f>
        <v>5910</v>
      </c>
      <c r="E11" s="761">
        <f>'[18]1_MFP &amp; Funded Membership'!$U14</f>
        <v>5998</v>
      </c>
      <c r="F11" s="1039">
        <f t="shared" si="3"/>
        <v>88</v>
      </c>
      <c r="G11" s="269">
        <f t="shared" si="4"/>
        <v>0.014890016920473773</v>
      </c>
      <c r="H11" s="761">
        <f t="shared" si="5"/>
        <v>88</v>
      </c>
      <c r="I11" s="761">
        <f t="shared" si="6"/>
        <v>0</v>
      </c>
      <c r="J11" s="1107">
        <f t="shared" si="7"/>
        <v>88</v>
      </c>
      <c r="K11" s="1076">
        <f>'Table 3 Levels 1&amp;2'!AL13</f>
        <v>5615.691950037225</v>
      </c>
      <c r="L11" s="1091">
        <f>'Table 4 Level 3'!W11+'Table 4 Level 3'!AA11</f>
        <v>308.05</v>
      </c>
      <c r="M11" s="1076">
        <f>'Table 4 Level 3'!AE11</f>
        <v>0</v>
      </c>
      <c r="N11" s="1076">
        <f t="shared" si="8"/>
        <v>5923.741950037225</v>
      </c>
      <c r="O11" s="1116">
        <f t="shared" si="9"/>
        <v>521289.2916032758</v>
      </c>
      <c r="P11" s="1135">
        <f t="shared" si="10"/>
        <v>5998</v>
      </c>
      <c r="Q11" s="1135">
        <f t="shared" si="1"/>
        <v>88</v>
      </c>
      <c r="R11" s="1135">
        <f t="shared" si="2"/>
        <v>0</v>
      </c>
    </row>
    <row r="12" spans="1:18" ht="12.75">
      <c r="A12" s="124">
        <v>7</v>
      </c>
      <c r="B12" s="124" t="s">
        <v>507</v>
      </c>
      <c r="C12" s="761">
        <f>'Table 3 Levels 1&amp;2'!C14</f>
        <v>2122</v>
      </c>
      <c r="D12" s="761">
        <f>'Table 8 Membership, 2.1.09'!R11</f>
        <v>2122</v>
      </c>
      <c r="E12" s="761">
        <f>'[18]1_MFP &amp; Funded Membership'!$U15</f>
        <v>2178</v>
      </c>
      <c r="F12" s="1039">
        <f t="shared" si="3"/>
        <v>56</v>
      </c>
      <c r="G12" s="269">
        <f t="shared" si="4"/>
        <v>0.02639019792648445</v>
      </c>
      <c r="H12" s="761">
        <f t="shared" si="5"/>
        <v>56</v>
      </c>
      <c r="I12" s="761">
        <f t="shared" si="6"/>
        <v>0</v>
      </c>
      <c r="J12" s="1107">
        <f t="shared" si="7"/>
        <v>56</v>
      </c>
      <c r="K12" s="1076">
        <f>'Table 3 Levels 1&amp;2'!AL14</f>
        <v>2806.1178883472194</v>
      </c>
      <c r="L12" s="1091">
        <f>'Table 4 Level 3'!W12+'Table 4 Level 3'!AA12</f>
        <v>372.36</v>
      </c>
      <c r="M12" s="1076">
        <f>'Table 4 Level 3'!AE12</f>
        <v>125.67</v>
      </c>
      <c r="N12" s="1076">
        <f t="shared" si="8"/>
        <v>3304.1478883472196</v>
      </c>
      <c r="O12" s="1116">
        <f t="shared" si="9"/>
        <v>185032.2817474443</v>
      </c>
      <c r="P12" s="1135">
        <f t="shared" si="10"/>
        <v>2178</v>
      </c>
      <c r="Q12" s="1135">
        <f t="shared" si="1"/>
        <v>56</v>
      </c>
      <c r="R12" s="1135">
        <f t="shared" si="2"/>
        <v>0</v>
      </c>
    </row>
    <row r="13" spans="1:18" ht="12.75">
      <c r="A13" s="124">
        <v>8</v>
      </c>
      <c r="B13" s="124" t="s">
        <v>508</v>
      </c>
      <c r="C13" s="762">
        <f>'Table 3 Levels 1&amp;2'!C15</f>
        <v>19282</v>
      </c>
      <c r="D13" s="762">
        <f>'Table 8 Membership, 2.1.09'!R12</f>
        <v>19282</v>
      </c>
      <c r="E13" s="762">
        <f>'[18]1_MFP &amp; Funded Membership'!$U16</f>
        <v>19946</v>
      </c>
      <c r="F13" s="1039">
        <f t="shared" si="3"/>
        <v>664</v>
      </c>
      <c r="G13" s="269">
        <f t="shared" si="4"/>
        <v>0.03443626179856861</v>
      </c>
      <c r="H13" s="762">
        <f t="shared" si="5"/>
        <v>664</v>
      </c>
      <c r="I13" s="762">
        <f t="shared" si="6"/>
        <v>0</v>
      </c>
      <c r="J13" s="1107">
        <f t="shared" si="7"/>
        <v>664</v>
      </c>
      <c r="K13" s="477">
        <f>'Table 3 Levels 1&amp;2'!AL15</f>
        <v>4600.678233758967</v>
      </c>
      <c r="L13" s="1092">
        <f>'Table 4 Level 3'!W13+'Table 4 Level 3'!AA13</f>
        <v>287.41</v>
      </c>
      <c r="M13" s="477">
        <f>'Table 4 Level 3'!AE13</f>
        <v>98.85</v>
      </c>
      <c r="N13" s="477">
        <f t="shared" si="8"/>
        <v>4986.938233758967</v>
      </c>
      <c r="O13" s="1116">
        <f t="shared" si="9"/>
        <v>3311326.987215954</v>
      </c>
      <c r="P13" s="1135">
        <f t="shared" si="10"/>
        <v>19946</v>
      </c>
      <c r="Q13" s="1135">
        <f t="shared" si="1"/>
        <v>664</v>
      </c>
      <c r="R13" s="1135">
        <f t="shared" si="2"/>
        <v>0</v>
      </c>
    </row>
    <row r="14" spans="1:18" ht="12.75">
      <c r="A14" s="124">
        <v>9</v>
      </c>
      <c r="B14" s="124" t="s">
        <v>509</v>
      </c>
      <c r="C14" s="785">
        <f>'Table 5B2_RSD_LA'!C25</f>
        <v>40231</v>
      </c>
      <c r="D14" s="785">
        <f>'Table 8 Membership, 2.1.09'!R13-('Table 8 Membership, 2.1.09'!R144+'Table 8 Membership, 2.1.09'!R145)</f>
        <v>40231</v>
      </c>
      <c r="E14" s="762">
        <f>'[18]1_MFP &amp; Funded Membership'!$U17</f>
        <v>40730</v>
      </c>
      <c r="F14" s="1039">
        <f t="shared" si="3"/>
        <v>499</v>
      </c>
      <c r="G14" s="269">
        <f t="shared" si="4"/>
        <v>0.012403370535159454</v>
      </c>
      <c r="H14" s="762">
        <f t="shared" si="5"/>
        <v>499</v>
      </c>
      <c r="I14" s="762">
        <f t="shared" si="6"/>
        <v>0</v>
      </c>
      <c r="J14" s="1107">
        <f t="shared" si="7"/>
        <v>499</v>
      </c>
      <c r="K14" s="477">
        <f>'Table 3 Levels 1&amp;2'!AL16</f>
        <v>4878.837271866106</v>
      </c>
      <c r="L14" s="1092">
        <f>'Table 4 Level 3'!W14+'Table 4 Level 3'!AA14</f>
        <v>324.53</v>
      </c>
      <c r="M14" s="477">
        <f>'Table 4 Level 3'!AE14</f>
        <v>105.77</v>
      </c>
      <c r="N14" s="477">
        <f t="shared" si="8"/>
        <v>5309.137271866106</v>
      </c>
      <c r="O14" s="1116">
        <f t="shared" si="9"/>
        <v>2649259.498661187</v>
      </c>
      <c r="P14" s="1135">
        <f t="shared" si="10"/>
        <v>40730</v>
      </c>
      <c r="Q14" s="1135">
        <f t="shared" si="1"/>
        <v>499</v>
      </c>
      <c r="R14" s="1135">
        <f t="shared" si="2"/>
        <v>0</v>
      </c>
    </row>
    <row r="15" spans="1:18" ht="12.75">
      <c r="A15" s="125">
        <v>10</v>
      </c>
      <c r="B15" s="125" t="s">
        <v>510</v>
      </c>
      <c r="C15" s="763">
        <f>'Table 3 Levels 1&amp;2'!C17</f>
        <v>30882</v>
      </c>
      <c r="D15" s="763">
        <f>'Table 8 Membership, 2.1.09'!R14</f>
        <v>30882</v>
      </c>
      <c r="E15" s="763">
        <f>'[18]1_MFP &amp; Funded Membership'!$U18</f>
        <v>31355</v>
      </c>
      <c r="F15" s="1040">
        <f t="shared" si="3"/>
        <v>473</v>
      </c>
      <c r="G15" s="270">
        <f t="shared" si="4"/>
        <v>0.015316365520367851</v>
      </c>
      <c r="H15" s="763">
        <f t="shared" si="5"/>
        <v>473</v>
      </c>
      <c r="I15" s="763">
        <f t="shared" si="6"/>
        <v>0</v>
      </c>
      <c r="J15" s="1108">
        <f t="shared" si="7"/>
        <v>473</v>
      </c>
      <c r="K15" s="1077">
        <f>'Table 3 Levels 1&amp;2'!AL17</f>
        <v>4401.005797757295</v>
      </c>
      <c r="L15" s="1093">
        <f>'Table 4 Level 3'!W15+'Table 4 Level 3'!AA15</f>
        <v>341.05</v>
      </c>
      <c r="M15" s="1077">
        <f>'Table 4 Level 3'!AE15</f>
        <v>11.99</v>
      </c>
      <c r="N15" s="1077">
        <f t="shared" si="8"/>
        <v>4754.045797757295</v>
      </c>
      <c r="O15" s="1117">
        <f t="shared" si="9"/>
        <v>2248663.6623392007</v>
      </c>
      <c r="P15" s="1136">
        <f t="shared" si="10"/>
        <v>31355</v>
      </c>
      <c r="Q15" s="1136">
        <f t="shared" si="1"/>
        <v>473</v>
      </c>
      <c r="R15" s="1136">
        <f t="shared" si="2"/>
        <v>0</v>
      </c>
    </row>
    <row r="16" spans="1:18" ht="12.75">
      <c r="A16" s="124">
        <v>11</v>
      </c>
      <c r="B16" s="124" t="s">
        <v>511</v>
      </c>
      <c r="C16" s="761">
        <f>'Table 3 Levels 1&amp;2'!C18</f>
        <v>1633</v>
      </c>
      <c r="D16" s="761">
        <f>'Table 8 Membership, 2.1.09'!R15</f>
        <v>1633</v>
      </c>
      <c r="E16" s="761">
        <f>'[18]1_MFP &amp; Funded Membership'!$U19</f>
        <v>1620</v>
      </c>
      <c r="F16" s="1039">
        <f t="shared" si="3"/>
        <v>-13</v>
      </c>
      <c r="G16" s="269">
        <f t="shared" si="4"/>
        <v>-0.007960808328230252</v>
      </c>
      <c r="H16" s="761">
        <f t="shared" si="5"/>
        <v>0</v>
      </c>
      <c r="I16" s="761">
        <f t="shared" si="6"/>
        <v>0</v>
      </c>
      <c r="J16" s="1107">
        <f t="shared" si="7"/>
        <v>0</v>
      </c>
      <c r="K16" s="1076">
        <f>'Table 3 Levels 1&amp;2'!AL18</f>
        <v>6202.53014625842</v>
      </c>
      <c r="L16" s="1091">
        <f>'Table 4 Level 3'!W16+'Table 4 Level 3'!AA16</f>
        <v>353.24</v>
      </c>
      <c r="M16" s="1076">
        <f>'Table 4 Level 3'!AE16</f>
        <v>70.68</v>
      </c>
      <c r="N16" s="1076">
        <f t="shared" si="8"/>
        <v>6626.45014625842</v>
      </c>
      <c r="O16" s="1116">
        <f t="shared" si="9"/>
        <v>0</v>
      </c>
      <c r="P16" s="1135">
        <f t="shared" si="10"/>
        <v>1633</v>
      </c>
      <c r="Q16" s="1135">
        <f t="shared" si="1"/>
        <v>0</v>
      </c>
      <c r="R16" s="1135">
        <f t="shared" si="2"/>
        <v>13</v>
      </c>
    </row>
    <row r="17" spans="1:18" ht="12.75">
      <c r="A17" s="124">
        <v>12</v>
      </c>
      <c r="B17" s="124" t="s">
        <v>512</v>
      </c>
      <c r="C17" s="761">
        <f>'Table 3 Levels 1&amp;2'!C19</f>
        <v>1307</v>
      </c>
      <c r="D17" s="761">
        <f>'Table 8 Membership, 2.1.09'!R16</f>
        <v>1307</v>
      </c>
      <c r="E17" s="761">
        <f>'[18]1_MFP &amp; Funded Membership'!$U20</f>
        <v>1289</v>
      </c>
      <c r="F17" s="1039">
        <f t="shared" si="3"/>
        <v>-18</v>
      </c>
      <c r="G17" s="269">
        <f t="shared" si="4"/>
        <v>-0.013771996939556235</v>
      </c>
      <c r="H17" s="761">
        <f t="shared" si="5"/>
        <v>0</v>
      </c>
      <c r="I17" s="761">
        <f t="shared" si="6"/>
        <v>0</v>
      </c>
      <c r="J17" s="1107">
        <f t="shared" si="7"/>
        <v>0</v>
      </c>
      <c r="K17" s="1076">
        <f>'Table 3 Levels 1&amp;2'!AL19</f>
        <v>3234.536438671768</v>
      </c>
      <c r="L17" s="1091">
        <f>'Table 4 Level 3'!W17+'Table 4 Level 3'!AA17</f>
        <v>425.24</v>
      </c>
      <c r="M17" s="1076">
        <f>'Table 4 Level 3'!AE17</f>
        <v>173.8</v>
      </c>
      <c r="N17" s="1076">
        <f t="shared" si="8"/>
        <v>3833.5764386717683</v>
      </c>
      <c r="O17" s="1116">
        <f t="shared" si="9"/>
        <v>0</v>
      </c>
      <c r="P17" s="1135">
        <f t="shared" si="10"/>
        <v>1307</v>
      </c>
      <c r="Q17" s="1135">
        <f t="shared" si="1"/>
        <v>0</v>
      </c>
      <c r="R17" s="1135">
        <f t="shared" si="2"/>
        <v>18</v>
      </c>
    </row>
    <row r="18" spans="1:18" ht="12.75">
      <c r="A18" s="124">
        <v>13</v>
      </c>
      <c r="B18" s="124" t="s">
        <v>513</v>
      </c>
      <c r="C18" s="762">
        <f>'Table 3 Levels 1&amp;2'!C20</f>
        <v>1609</v>
      </c>
      <c r="D18" s="762">
        <f>'Table 8 Membership, 2.1.09'!R17</f>
        <v>1609</v>
      </c>
      <c r="E18" s="762">
        <f>'[18]1_MFP &amp; Funded Membership'!$U21</f>
        <v>1579</v>
      </c>
      <c r="F18" s="1039">
        <f t="shared" si="3"/>
        <v>-30</v>
      </c>
      <c r="G18" s="269">
        <f t="shared" si="4"/>
        <v>-0.018645121193287758</v>
      </c>
      <c r="H18" s="762">
        <f t="shared" si="5"/>
        <v>0</v>
      </c>
      <c r="I18" s="762">
        <f t="shared" si="6"/>
        <v>0</v>
      </c>
      <c r="J18" s="1107">
        <f t="shared" si="7"/>
        <v>0</v>
      </c>
      <c r="K18" s="477">
        <f>'Table 3 Levels 1&amp;2'!AL20</f>
        <v>5880.671915746427</v>
      </c>
      <c r="L18" s="1092">
        <f>'Table 4 Level 3'!W18+'Table 4 Level 3'!AA18</f>
        <v>352.84</v>
      </c>
      <c r="M18" s="477">
        <f>'Table 4 Level 3'!AE18</f>
        <v>89.23</v>
      </c>
      <c r="N18" s="477">
        <f t="shared" si="8"/>
        <v>6322.7419157464265</v>
      </c>
      <c r="O18" s="1116">
        <f t="shared" si="9"/>
        <v>0</v>
      </c>
      <c r="P18" s="1135">
        <f t="shared" si="10"/>
        <v>1609</v>
      </c>
      <c r="Q18" s="1135">
        <f t="shared" si="1"/>
        <v>0</v>
      </c>
      <c r="R18" s="1135">
        <f t="shared" si="2"/>
        <v>30</v>
      </c>
    </row>
    <row r="19" spans="1:18" ht="12.75">
      <c r="A19" s="124">
        <v>14</v>
      </c>
      <c r="B19" s="124" t="s">
        <v>514</v>
      </c>
      <c r="C19" s="762">
        <f>'Table 3 Levels 1&amp;2'!C21</f>
        <v>2234</v>
      </c>
      <c r="D19" s="762">
        <f>'Table 8 Membership, 2.1.09'!R18</f>
        <v>2234</v>
      </c>
      <c r="E19" s="762">
        <f>'[18]1_MFP &amp; Funded Membership'!$U22</f>
        <v>2115</v>
      </c>
      <c r="F19" s="1039">
        <f t="shared" si="3"/>
        <v>-119</v>
      </c>
      <c r="G19" s="269">
        <f t="shared" si="4"/>
        <v>-0.05326768128916741</v>
      </c>
      <c r="H19" s="762">
        <f t="shared" si="5"/>
        <v>0</v>
      </c>
      <c r="I19" s="762">
        <f t="shared" si="6"/>
        <v>0</v>
      </c>
      <c r="J19" s="1107">
        <f t="shared" si="7"/>
        <v>0</v>
      </c>
      <c r="K19" s="477">
        <f>'Table 3 Levels 1&amp;2'!AL21</f>
        <v>6291.680990707252</v>
      </c>
      <c r="L19" s="1092">
        <f>'Table 4 Level 3'!W19+'Table 4 Level 3'!AA19</f>
        <v>367.95000000000005</v>
      </c>
      <c r="M19" s="477">
        <f>'Table 4 Level 3'!AE19</f>
        <v>96.16</v>
      </c>
      <c r="N19" s="477">
        <f t="shared" si="8"/>
        <v>6755.790990707252</v>
      </c>
      <c r="O19" s="1116">
        <f t="shared" si="9"/>
        <v>0</v>
      </c>
      <c r="P19" s="1135">
        <f t="shared" si="10"/>
        <v>2234</v>
      </c>
      <c r="Q19" s="1135">
        <f t="shared" si="1"/>
        <v>0</v>
      </c>
      <c r="R19" s="1135">
        <f t="shared" si="2"/>
        <v>119</v>
      </c>
    </row>
    <row r="20" spans="1:18" ht="12.75">
      <c r="A20" s="125">
        <v>15</v>
      </c>
      <c r="B20" s="125" t="s">
        <v>515</v>
      </c>
      <c r="C20" s="763">
        <f>'Table 3 Levels 1&amp;2'!C22</f>
        <v>3742</v>
      </c>
      <c r="D20" s="763">
        <f>'Table 8 Membership, 2.1.09'!R19</f>
        <v>3742</v>
      </c>
      <c r="E20" s="763">
        <f>'[18]1_MFP &amp; Funded Membership'!$U23</f>
        <v>3738</v>
      </c>
      <c r="F20" s="1040">
        <f t="shared" si="3"/>
        <v>-4</v>
      </c>
      <c r="G20" s="270">
        <f t="shared" si="4"/>
        <v>-0.0010689470871191875</v>
      </c>
      <c r="H20" s="763">
        <f t="shared" si="5"/>
        <v>0</v>
      </c>
      <c r="I20" s="763">
        <f t="shared" si="6"/>
        <v>0</v>
      </c>
      <c r="J20" s="1108">
        <f t="shared" si="7"/>
        <v>0</v>
      </c>
      <c r="K20" s="1077">
        <f>'Table 3 Levels 1&amp;2'!AL22</f>
        <v>5604.46120664992</v>
      </c>
      <c r="L20" s="1093">
        <f>'Table 4 Level 3'!W20+'Table 4 Level 3'!AA20</f>
        <v>328.58</v>
      </c>
      <c r="M20" s="1077">
        <f>'Table 4 Level 3'!AE20</f>
        <v>0</v>
      </c>
      <c r="N20" s="1077">
        <f t="shared" si="8"/>
        <v>5933.04120664992</v>
      </c>
      <c r="O20" s="1117">
        <f t="shared" si="9"/>
        <v>0</v>
      </c>
      <c r="P20" s="1136">
        <f t="shared" si="10"/>
        <v>3742</v>
      </c>
      <c r="Q20" s="1136">
        <f t="shared" si="1"/>
        <v>0</v>
      </c>
      <c r="R20" s="1136">
        <f t="shared" si="2"/>
        <v>4</v>
      </c>
    </row>
    <row r="21" spans="1:18" ht="12.75">
      <c r="A21" s="124">
        <v>16</v>
      </c>
      <c r="B21" s="124" t="s">
        <v>516</v>
      </c>
      <c r="C21" s="761">
        <f>'Table 3 Levels 1&amp;2'!C23</f>
        <v>4590</v>
      </c>
      <c r="D21" s="761">
        <f>'Table 8 Membership, 2.1.09'!R20</f>
        <v>4590</v>
      </c>
      <c r="E21" s="761">
        <f>'[18]1_MFP &amp; Funded Membership'!$U24</f>
        <v>4606</v>
      </c>
      <c r="F21" s="1039">
        <f t="shared" si="3"/>
        <v>16</v>
      </c>
      <c r="G21" s="269">
        <f t="shared" si="4"/>
        <v>0.003485838779956427</v>
      </c>
      <c r="H21" s="761">
        <f t="shared" si="5"/>
        <v>0</v>
      </c>
      <c r="I21" s="761">
        <f t="shared" si="6"/>
        <v>0</v>
      </c>
      <c r="J21" s="1107">
        <f t="shared" si="7"/>
        <v>0</v>
      </c>
      <c r="K21" s="1076">
        <f>'Table 3 Levels 1&amp;2'!AL23</f>
        <v>4520.609922410807</v>
      </c>
      <c r="L21" s="1091">
        <f>'Table 4 Level 3'!W21+'Table 4 Level 3'!AA21</f>
        <v>339.33</v>
      </c>
      <c r="M21" s="1076">
        <f>'Table 4 Level 3'!AE21</f>
        <v>110.58</v>
      </c>
      <c r="N21" s="1076">
        <f t="shared" si="8"/>
        <v>4970.519922410806</v>
      </c>
      <c r="O21" s="1116">
        <f t="shared" si="9"/>
        <v>0</v>
      </c>
      <c r="P21" s="1135">
        <f t="shared" si="10"/>
        <v>4590</v>
      </c>
      <c r="Q21" s="1135">
        <f t="shared" si="1"/>
        <v>0</v>
      </c>
      <c r="R21" s="1135">
        <f t="shared" si="2"/>
        <v>-16</v>
      </c>
    </row>
    <row r="22" spans="1:18" ht="12.75">
      <c r="A22" s="124">
        <v>17</v>
      </c>
      <c r="B22" s="124" t="s">
        <v>517</v>
      </c>
      <c r="C22" s="785">
        <f>'Table 5B2_RSD_LA'!C7</f>
        <v>39870</v>
      </c>
      <c r="D22" s="785">
        <f>'Table 8 Membership, 2.1.09'!R21-('Table 8 Membership, 2.1.09'!R127+'Table 8 Membership, 2.1.09'!R128+'Table 8 Membership, 2.1.09'!R129+'Table 8 Membership, 2.1.09'!R130+'Table 8 Membership, 2.1.09'!R133+'Table 8 Membership, 2.1.09'!R134+'Table 8 Membership, 2.1.09'!R137+'Table 8 Membership, 2.1.09'!R138)</f>
        <v>39870</v>
      </c>
      <c r="E22" s="762">
        <f>'[18]1_MFP &amp; Funded Membership'!$U25</f>
        <v>40674</v>
      </c>
      <c r="F22" s="1039">
        <f t="shared" si="3"/>
        <v>804</v>
      </c>
      <c r="G22" s="269">
        <f t="shared" si="4"/>
        <v>0.02016553799849511</v>
      </c>
      <c r="H22" s="762">
        <f t="shared" si="5"/>
        <v>804</v>
      </c>
      <c r="I22" s="762">
        <f t="shared" si="6"/>
        <v>0</v>
      </c>
      <c r="J22" s="1107">
        <f t="shared" si="7"/>
        <v>804</v>
      </c>
      <c r="K22" s="477">
        <f>'Table 3 Levels 1&amp;2'!AL24</f>
        <v>3632.310699762789</v>
      </c>
      <c r="L22" s="1092">
        <f>'Table 4 Level 3'!W22+'Table 4 Level 3'!AA22</f>
        <v>309.24</v>
      </c>
      <c r="M22" s="1106">
        <f>'Table 5B2_RSD_LA'!M7</f>
        <v>113.10762416806803</v>
      </c>
      <c r="N22" s="477">
        <f t="shared" si="8"/>
        <v>4054.658323930857</v>
      </c>
      <c r="O22" s="1116">
        <f t="shared" si="9"/>
        <v>3259945.292440409</v>
      </c>
      <c r="P22" s="1135">
        <f t="shared" si="10"/>
        <v>40674</v>
      </c>
      <c r="Q22" s="1135">
        <f t="shared" si="1"/>
        <v>804</v>
      </c>
      <c r="R22" s="1135">
        <f t="shared" si="2"/>
        <v>0</v>
      </c>
    </row>
    <row r="23" spans="1:18" ht="12.75">
      <c r="A23" s="124">
        <v>18</v>
      </c>
      <c r="B23" s="124" t="s">
        <v>518</v>
      </c>
      <c r="C23" s="762">
        <f>'Table 3 Levels 1&amp;2'!C25</f>
        <v>1325</v>
      </c>
      <c r="D23" s="762">
        <f>'Table 8 Membership, 2.1.09'!R22</f>
        <v>1325</v>
      </c>
      <c r="E23" s="762">
        <f>'[18]1_MFP &amp; Funded Membership'!$U26</f>
        <v>1255</v>
      </c>
      <c r="F23" s="1039">
        <f t="shared" si="3"/>
        <v>-70</v>
      </c>
      <c r="G23" s="269">
        <f t="shared" si="4"/>
        <v>-0.052830188679245285</v>
      </c>
      <c r="H23" s="762">
        <f t="shared" si="5"/>
        <v>0</v>
      </c>
      <c r="I23" s="762">
        <f t="shared" si="6"/>
        <v>0</v>
      </c>
      <c r="J23" s="1107">
        <f t="shared" si="7"/>
        <v>0</v>
      </c>
      <c r="K23" s="477">
        <f>'Table 3 Levels 1&amp;2'!AL25</f>
        <v>6185.4315580347165</v>
      </c>
      <c r="L23" s="1092">
        <f>'Table 4 Level 3'!W23+'Table 4 Level 3'!AA23</f>
        <v>401.42</v>
      </c>
      <c r="M23" s="477">
        <f>'Table 4 Level 3'!AE23</f>
        <v>114.04</v>
      </c>
      <c r="N23" s="477">
        <f t="shared" si="8"/>
        <v>6700.891558034717</v>
      </c>
      <c r="O23" s="1116">
        <f t="shared" si="9"/>
        <v>0</v>
      </c>
      <c r="P23" s="1135">
        <f t="shared" si="10"/>
        <v>1325</v>
      </c>
      <c r="Q23" s="1135">
        <f t="shared" si="1"/>
        <v>0</v>
      </c>
      <c r="R23" s="1135">
        <f t="shared" si="2"/>
        <v>70</v>
      </c>
    </row>
    <row r="24" spans="1:18" ht="12.75">
      <c r="A24" s="124">
        <v>19</v>
      </c>
      <c r="B24" s="124" t="s">
        <v>519</v>
      </c>
      <c r="C24" s="762">
        <f>'Table 3 Levels 1&amp;2'!C26</f>
        <v>2099</v>
      </c>
      <c r="D24" s="762">
        <f>'Table 8 Membership, 2.1.09'!R23</f>
        <v>2099</v>
      </c>
      <c r="E24" s="762">
        <f>'[18]1_MFP &amp; Funded Membership'!$U27</f>
        <v>2056</v>
      </c>
      <c r="F24" s="1039">
        <f t="shared" si="3"/>
        <v>-43</v>
      </c>
      <c r="G24" s="269">
        <f t="shared" si="4"/>
        <v>-0.02048594568842306</v>
      </c>
      <c r="H24" s="762">
        <f t="shared" si="5"/>
        <v>0</v>
      </c>
      <c r="I24" s="762">
        <f t="shared" si="6"/>
        <v>0</v>
      </c>
      <c r="J24" s="1107">
        <f t="shared" si="7"/>
        <v>0</v>
      </c>
      <c r="K24" s="477">
        <f>'Table 3 Levels 1&amp;2'!AL26</f>
        <v>5724.912987737018</v>
      </c>
      <c r="L24" s="1092">
        <f>'Table 4 Level 3'!W24+'Table 4 Level 3'!AA24</f>
        <v>375.53000000000003</v>
      </c>
      <c r="M24" s="477">
        <f>'Table 4 Level 3'!AE24</f>
        <v>117.05</v>
      </c>
      <c r="N24" s="477">
        <f t="shared" si="8"/>
        <v>6217.492987737018</v>
      </c>
      <c r="O24" s="1116">
        <f t="shared" si="9"/>
        <v>0</v>
      </c>
      <c r="P24" s="1135">
        <f t="shared" si="10"/>
        <v>2099</v>
      </c>
      <c r="Q24" s="1135">
        <f t="shared" si="1"/>
        <v>0</v>
      </c>
      <c r="R24" s="1135">
        <f t="shared" si="2"/>
        <v>43</v>
      </c>
    </row>
    <row r="25" spans="1:18" ht="12.75">
      <c r="A25" s="125">
        <v>20</v>
      </c>
      <c r="B25" s="125" t="s">
        <v>520</v>
      </c>
      <c r="C25" s="763">
        <f>'Table 3 Levels 1&amp;2'!C27</f>
        <v>5667</v>
      </c>
      <c r="D25" s="763">
        <f>'Table 8 Membership, 2.1.09'!R24</f>
        <v>5667</v>
      </c>
      <c r="E25" s="763">
        <f>'[18]1_MFP &amp; Funded Membership'!$U28</f>
        <v>5757</v>
      </c>
      <c r="F25" s="1040">
        <f t="shared" si="3"/>
        <v>90</v>
      </c>
      <c r="G25" s="270">
        <f t="shared" si="4"/>
        <v>0.015881418740074114</v>
      </c>
      <c r="H25" s="763">
        <f t="shared" si="5"/>
        <v>90</v>
      </c>
      <c r="I25" s="763">
        <f t="shared" si="6"/>
        <v>0</v>
      </c>
      <c r="J25" s="1108">
        <f t="shared" si="7"/>
        <v>90</v>
      </c>
      <c r="K25" s="1077">
        <f>'Table 3 Levels 1&amp;2'!AL27</f>
        <v>5744.1678276110815</v>
      </c>
      <c r="L25" s="1093">
        <f>'Table 4 Level 3'!W25+'Table 4 Level 3'!AA25</f>
        <v>332.29999999999995</v>
      </c>
      <c r="M25" s="1077">
        <f>'Table 4 Level 3'!AE25</f>
        <v>34.25</v>
      </c>
      <c r="N25" s="1077">
        <f t="shared" si="8"/>
        <v>6110.717827611082</v>
      </c>
      <c r="O25" s="1117">
        <f t="shared" si="9"/>
        <v>549964.6044849973</v>
      </c>
      <c r="P25" s="1136">
        <f t="shared" si="10"/>
        <v>5757</v>
      </c>
      <c r="Q25" s="1136">
        <f t="shared" si="1"/>
        <v>90</v>
      </c>
      <c r="R25" s="1136">
        <f t="shared" si="2"/>
        <v>0</v>
      </c>
    </row>
    <row r="26" spans="1:18" ht="12.75">
      <c r="A26" s="124">
        <v>21</v>
      </c>
      <c r="B26" s="124" t="s">
        <v>521</v>
      </c>
      <c r="C26" s="761">
        <f>'Table 3 Levels 1&amp;2'!C28</f>
        <v>3003</v>
      </c>
      <c r="D26" s="761">
        <f>'Table 8 Membership, 2.1.09'!R25</f>
        <v>3003</v>
      </c>
      <c r="E26" s="761">
        <f>'[18]1_MFP &amp; Funded Membership'!$U29</f>
        <v>2950</v>
      </c>
      <c r="F26" s="1039">
        <f t="shared" si="3"/>
        <v>-53</v>
      </c>
      <c r="G26" s="269">
        <f t="shared" si="4"/>
        <v>-0.017649017649017648</v>
      </c>
      <c r="H26" s="761">
        <f t="shared" si="5"/>
        <v>0</v>
      </c>
      <c r="I26" s="761">
        <f t="shared" si="6"/>
        <v>0</v>
      </c>
      <c r="J26" s="1107">
        <f t="shared" si="7"/>
        <v>0</v>
      </c>
      <c r="K26" s="1076">
        <f>'Table 3 Levels 1&amp;2'!AL28</f>
        <v>5822.361010099235</v>
      </c>
      <c r="L26" s="1091">
        <f>'Table 4 Level 3'!W26+'Table 4 Level 3'!AA26</f>
        <v>308</v>
      </c>
      <c r="M26" s="1076">
        <f>'Table 4 Level 3'!AE26</f>
        <v>8.82</v>
      </c>
      <c r="N26" s="1076">
        <f t="shared" si="8"/>
        <v>6139.181010099234</v>
      </c>
      <c r="O26" s="1116">
        <f t="shared" si="9"/>
        <v>0</v>
      </c>
      <c r="P26" s="1135">
        <f t="shared" si="10"/>
        <v>3003</v>
      </c>
      <c r="Q26" s="1135">
        <f t="shared" si="1"/>
        <v>0</v>
      </c>
      <c r="R26" s="1135">
        <f t="shared" si="2"/>
        <v>53</v>
      </c>
    </row>
    <row r="27" spans="1:18" ht="12.75">
      <c r="A27" s="124">
        <v>22</v>
      </c>
      <c r="B27" s="124" t="s">
        <v>522</v>
      </c>
      <c r="C27" s="761">
        <f>'Table 3 Levels 1&amp;2'!C29</f>
        <v>3384</v>
      </c>
      <c r="D27" s="761">
        <f>'Table 8 Membership, 2.1.09'!R26</f>
        <v>3384</v>
      </c>
      <c r="E27" s="761">
        <f>'[18]1_MFP &amp; Funded Membership'!$U30</f>
        <v>3344</v>
      </c>
      <c r="F27" s="1039">
        <f t="shared" si="3"/>
        <v>-40</v>
      </c>
      <c r="G27" s="269">
        <f t="shared" si="4"/>
        <v>-0.01182033096926714</v>
      </c>
      <c r="H27" s="761">
        <f t="shared" si="5"/>
        <v>0</v>
      </c>
      <c r="I27" s="761">
        <f t="shared" si="6"/>
        <v>0</v>
      </c>
      <c r="J27" s="1107">
        <f t="shared" si="7"/>
        <v>0</v>
      </c>
      <c r="K27" s="1076">
        <f>'Table 3 Levels 1&amp;2'!AL29</f>
        <v>5972.512487148936</v>
      </c>
      <c r="L27" s="1091">
        <f>'Table 4 Level 3'!W27+'Table 4 Level 3'!AA27</f>
        <v>291.88</v>
      </c>
      <c r="M27" s="1076">
        <f>'Table 4 Level 3'!AE27</f>
        <v>0</v>
      </c>
      <c r="N27" s="1076">
        <f t="shared" si="8"/>
        <v>6264.392487148936</v>
      </c>
      <c r="O27" s="1116">
        <f t="shared" si="9"/>
        <v>0</v>
      </c>
      <c r="P27" s="1135">
        <f t="shared" si="10"/>
        <v>3384</v>
      </c>
      <c r="Q27" s="1135">
        <f t="shared" si="1"/>
        <v>0</v>
      </c>
      <c r="R27" s="1135">
        <f t="shared" si="2"/>
        <v>40</v>
      </c>
    </row>
    <row r="28" spans="1:18" ht="12.75">
      <c r="A28" s="124">
        <v>23</v>
      </c>
      <c r="B28" s="124" t="s">
        <v>523</v>
      </c>
      <c r="C28" s="762">
        <f>'Table 3 Levels 1&amp;2'!C30</f>
        <v>13333</v>
      </c>
      <c r="D28" s="762">
        <f>'Table 8 Membership, 2.1.09'!R27</f>
        <v>13333</v>
      </c>
      <c r="E28" s="762">
        <f>'[18]1_MFP &amp; Funded Membership'!$U31</f>
        <v>13346</v>
      </c>
      <c r="F28" s="1039">
        <f t="shared" si="3"/>
        <v>13</v>
      </c>
      <c r="G28" s="269">
        <f t="shared" si="4"/>
        <v>0.0009750243756093903</v>
      </c>
      <c r="H28" s="762">
        <f t="shared" si="5"/>
        <v>0</v>
      </c>
      <c r="I28" s="762">
        <f t="shared" si="6"/>
        <v>0</v>
      </c>
      <c r="J28" s="1107">
        <f t="shared" si="7"/>
        <v>0</v>
      </c>
      <c r="K28" s="477">
        <f>'Table 3 Levels 1&amp;2'!AL30</f>
        <v>5119.868537911947</v>
      </c>
      <c r="L28" s="1092">
        <f>'Table 4 Level 3'!W28+'Table 4 Level 3'!AA28</f>
        <v>314.81</v>
      </c>
      <c r="M28" s="477">
        <f>'Table 4 Level 3'!AE28</f>
        <v>108.45</v>
      </c>
      <c r="N28" s="477">
        <f t="shared" si="8"/>
        <v>5543.128537911947</v>
      </c>
      <c r="O28" s="1116">
        <f t="shared" si="9"/>
        <v>0</v>
      </c>
      <c r="P28" s="1135">
        <f t="shared" si="10"/>
        <v>13333</v>
      </c>
      <c r="Q28" s="1135">
        <f t="shared" si="1"/>
        <v>0</v>
      </c>
      <c r="R28" s="1135">
        <f t="shared" si="2"/>
        <v>-13</v>
      </c>
    </row>
    <row r="29" spans="1:18" ht="12.75">
      <c r="A29" s="124">
        <v>24</v>
      </c>
      <c r="B29" s="124" t="s">
        <v>524</v>
      </c>
      <c r="C29" s="762">
        <f>'Table 3 Levels 1&amp;2'!C31</f>
        <v>4139</v>
      </c>
      <c r="D29" s="762">
        <f>'Table 8 Membership, 2.1.09'!R28</f>
        <v>4139</v>
      </c>
      <c r="E29" s="762">
        <f>'[18]1_MFP &amp; Funded Membership'!$U32</f>
        <v>3998</v>
      </c>
      <c r="F29" s="1039">
        <f t="shared" si="3"/>
        <v>-141</v>
      </c>
      <c r="G29" s="269">
        <f t="shared" si="4"/>
        <v>-0.034066199565112344</v>
      </c>
      <c r="H29" s="762">
        <f t="shared" si="5"/>
        <v>0</v>
      </c>
      <c r="I29" s="762">
        <f t="shared" si="6"/>
        <v>0</v>
      </c>
      <c r="J29" s="1107">
        <f t="shared" si="7"/>
        <v>0</v>
      </c>
      <c r="K29" s="477">
        <f>'Table 3 Levels 1&amp;2'!AL31</f>
        <v>3413.3128775066443</v>
      </c>
      <c r="L29" s="1092">
        <f>'Table 4 Level 3'!W29+'Table 4 Level 3'!AA29</f>
        <v>338.01</v>
      </c>
      <c r="M29" s="477">
        <f>'Table 4 Level 3'!AE29</f>
        <v>122.66</v>
      </c>
      <c r="N29" s="477">
        <f t="shared" si="8"/>
        <v>3873.9828775066444</v>
      </c>
      <c r="O29" s="1116">
        <f t="shared" si="9"/>
        <v>0</v>
      </c>
      <c r="P29" s="1135">
        <f t="shared" si="10"/>
        <v>4139</v>
      </c>
      <c r="Q29" s="1135">
        <f t="shared" si="1"/>
        <v>0</v>
      </c>
      <c r="R29" s="1135">
        <f t="shared" si="2"/>
        <v>141</v>
      </c>
    </row>
    <row r="30" spans="1:18" ht="12.75">
      <c r="A30" s="125">
        <v>25</v>
      </c>
      <c r="B30" s="125" t="s">
        <v>525</v>
      </c>
      <c r="C30" s="763">
        <f>'Table 3 Levels 1&amp;2'!C32</f>
        <v>2192</v>
      </c>
      <c r="D30" s="763">
        <f>'Table 8 Membership, 2.1.09'!R29</f>
        <v>2192</v>
      </c>
      <c r="E30" s="763">
        <f>'[18]1_MFP &amp; Funded Membership'!$U33</f>
        <v>2223</v>
      </c>
      <c r="F30" s="1040">
        <f t="shared" si="3"/>
        <v>31</v>
      </c>
      <c r="G30" s="270">
        <f t="shared" si="4"/>
        <v>0.014142335766423358</v>
      </c>
      <c r="H30" s="763">
        <f t="shared" si="5"/>
        <v>31</v>
      </c>
      <c r="I30" s="763">
        <f t="shared" si="6"/>
        <v>0</v>
      </c>
      <c r="J30" s="1108">
        <f t="shared" si="7"/>
        <v>31</v>
      </c>
      <c r="K30" s="1077">
        <f>'Table 3 Levels 1&amp;2'!AL32</f>
        <v>4195.016786192701</v>
      </c>
      <c r="L30" s="1093">
        <f>'Table 4 Level 3'!W30+'Table 4 Level 3'!AA30</f>
        <v>325.13</v>
      </c>
      <c r="M30" s="1077">
        <f>'Table 4 Level 3'!AE30</f>
        <v>103.1</v>
      </c>
      <c r="N30" s="1077">
        <f t="shared" si="8"/>
        <v>4623.246786192702</v>
      </c>
      <c r="O30" s="1117">
        <f t="shared" si="9"/>
        <v>143320.65037197375</v>
      </c>
      <c r="P30" s="1136">
        <f t="shared" si="10"/>
        <v>2223</v>
      </c>
      <c r="Q30" s="1136">
        <f t="shared" si="1"/>
        <v>31</v>
      </c>
      <c r="R30" s="1136">
        <f t="shared" si="2"/>
        <v>0</v>
      </c>
    </row>
    <row r="31" spans="1:18" ht="12.75">
      <c r="A31" s="124">
        <v>26</v>
      </c>
      <c r="B31" s="124" t="s">
        <v>526</v>
      </c>
      <c r="C31" s="761">
        <f>'Table 3 Levels 1&amp;2'!C33</f>
        <v>41790</v>
      </c>
      <c r="D31" s="761">
        <f>'Table 8 Membership, 2.1.09'!R30</f>
        <v>41790</v>
      </c>
      <c r="E31" s="761">
        <f>'[18]1_MFP &amp; Funded Membership'!$U34</f>
        <v>42795</v>
      </c>
      <c r="F31" s="1039">
        <f t="shared" si="3"/>
        <v>1005</v>
      </c>
      <c r="G31" s="269">
        <f t="shared" si="4"/>
        <v>0.02404881550610194</v>
      </c>
      <c r="H31" s="761">
        <f t="shared" si="5"/>
        <v>1005</v>
      </c>
      <c r="I31" s="761">
        <f t="shared" si="6"/>
        <v>0</v>
      </c>
      <c r="J31" s="1107">
        <f t="shared" si="7"/>
        <v>1005</v>
      </c>
      <c r="K31" s="1076">
        <f>'Table 3 Levels 1&amp;2'!AL33</f>
        <v>3254.1488394352714</v>
      </c>
      <c r="L31" s="1091">
        <f>'Table 4 Level 3'!W31+'Table 4 Level 3'!AA31</f>
        <v>339.41</v>
      </c>
      <c r="M31" s="1076">
        <f>'Table 4 Level 3'!AE31</f>
        <v>112.42</v>
      </c>
      <c r="N31" s="1076">
        <f t="shared" si="8"/>
        <v>3705.9788394352713</v>
      </c>
      <c r="O31" s="1116">
        <f t="shared" si="9"/>
        <v>3724508.7336324477</v>
      </c>
      <c r="P31" s="1135">
        <f t="shared" si="10"/>
        <v>42795</v>
      </c>
      <c r="Q31" s="1135">
        <f t="shared" si="1"/>
        <v>1005</v>
      </c>
      <c r="R31" s="1135">
        <f t="shared" si="2"/>
        <v>0</v>
      </c>
    </row>
    <row r="32" spans="1:18" ht="12.75">
      <c r="A32" s="124">
        <v>27</v>
      </c>
      <c r="B32" s="124" t="s">
        <v>527</v>
      </c>
      <c r="C32" s="761">
        <f>'Table 3 Levels 1&amp;2'!C34</f>
        <v>5576</v>
      </c>
      <c r="D32" s="761">
        <f>'Table 8 Membership, 2.1.09'!R31</f>
        <v>5576</v>
      </c>
      <c r="E32" s="761">
        <f>'[18]1_MFP &amp; Funded Membership'!$U35</f>
        <v>5645</v>
      </c>
      <c r="F32" s="1039">
        <f t="shared" si="3"/>
        <v>69</v>
      </c>
      <c r="G32" s="269">
        <f t="shared" si="4"/>
        <v>0.012374461979913917</v>
      </c>
      <c r="H32" s="761">
        <f t="shared" si="5"/>
        <v>69</v>
      </c>
      <c r="I32" s="761">
        <f t="shared" si="6"/>
        <v>0</v>
      </c>
      <c r="J32" s="1107">
        <f t="shared" si="7"/>
        <v>69</v>
      </c>
      <c r="K32" s="1076">
        <f>'Table 3 Levels 1&amp;2'!AL34</f>
        <v>5939.418833572454</v>
      </c>
      <c r="L32" s="1091">
        <f>'Table 4 Level 3'!W32+'Table 4 Level 3'!AA32</f>
        <v>313.22</v>
      </c>
      <c r="M32" s="1076">
        <f>'Table 4 Level 3'!AE32</f>
        <v>103.43</v>
      </c>
      <c r="N32" s="1076">
        <f t="shared" si="8"/>
        <v>6356.068833572454</v>
      </c>
      <c r="O32" s="1116">
        <f t="shared" si="9"/>
        <v>438568.74951649935</v>
      </c>
      <c r="P32" s="1135">
        <f t="shared" si="10"/>
        <v>5645</v>
      </c>
      <c r="Q32" s="1135">
        <f t="shared" si="1"/>
        <v>69</v>
      </c>
      <c r="R32" s="1135">
        <f t="shared" si="2"/>
        <v>0</v>
      </c>
    </row>
    <row r="33" spans="1:18" ht="12.75">
      <c r="A33" s="124">
        <v>28</v>
      </c>
      <c r="B33" s="124" t="s">
        <v>528</v>
      </c>
      <c r="C33" s="762">
        <f>'Table 3 Levels 1&amp;2'!C35</f>
        <v>28744</v>
      </c>
      <c r="D33" s="762">
        <f>'Table 8 Membership, 2.1.09'!R32</f>
        <v>28744</v>
      </c>
      <c r="E33" s="762">
        <f>'[18]1_MFP &amp; Funded Membership'!$U36</f>
        <v>29314</v>
      </c>
      <c r="F33" s="1039">
        <f t="shared" si="3"/>
        <v>570</v>
      </c>
      <c r="G33" s="269">
        <f t="shared" si="4"/>
        <v>0.01983022543835235</v>
      </c>
      <c r="H33" s="762">
        <f t="shared" si="5"/>
        <v>570</v>
      </c>
      <c r="I33" s="762">
        <f t="shared" si="6"/>
        <v>0</v>
      </c>
      <c r="J33" s="1107">
        <f t="shared" si="7"/>
        <v>570</v>
      </c>
      <c r="K33" s="477">
        <f>'Table 3 Levels 1&amp;2'!AL35</f>
        <v>3577.226796551503</v>
      </c>
      <c r="L33" s="1092">
        <f>'Table 4 Level 3'!W33+'Table 4 Level 3'!AA33</f>
        <v>314.49</v>
      </c>
      <c r="M33" s="477">
        <f>'Table 4 Level 3'!AE33</f>
        <v>107.4</v>
      </c>
      <c r="N33" s="477">
        <f t="shared" si="8"/>
        <v>3999.116796551503</v>
      </c>
      <c r="O33" s="1116">
        <f t="shared" si="9"/>
        <v>2279496.5740343565</v>
      </c>
      <c r="P33" s="1135">
        <f t="shared" si="10"/>
        <v>29314</v>
      </c>
      <c r="Q33" s="1135">
        <f t="shared" si="1"/>
        <v>570</v>
      </c>
      <c r="R33" s="1135">
        <f t="shared" si="2"/>
        <v>0</v>
      </c>
    </row>
    <row r="34" spans="1:18" ht="12.75">
      <c r="A34" s="124">
        <v>29</v>
      </c>
      <c r="B34" s="124" t="s">
        <v>529</v>
      </c>
      <c r="C34" s="762">
        <f>'Table 3 Levels 1&amp;2'!C36</f>
        <v>13694</v>
      </c>
      <c r="D34" s="762">
        <f>'Table 8 Membership, 2.1.09'!R33</f>
        <v>13694</v>
      </c>
      <c r="E34" s="762">
        <f>'[18]1_MFP &amp; Funded Membership'!$U37</f>
        <v>13775</v>
      </c>
      <c r="F34" s="1039">
        <f t="shared" si="3"/>
        <v>81</v>
      </c>
      <c r="G34" s="269">
        <f t="shared" si="4"/>
        <v>0.005914999269753176</v>
      </c>
      <c r="H34" s="762">
        <f t="shared" si="5"/>
        <v>81</v>
      </c>
      <c r="I34" s="762">
        <f t="shared" si="6"/>
        <v>0</v>
      </c>
      <c r="J34" s="1107">
        <f t="shared" si="7"/>
        <v>81</v>
      </c>
      <c r="K34" s="477">
        <f>'Table 3 Levels 1&amp;2'!AL36</f>
        <v>4634.658656239229</v>
      </c>
      <c r="L34" s="1092">
        <f>'Table 4 Level 3'!W34+'Table 4 Level 3'!AA34</f>
        <v>344.7</v>
      </c>
      <c r="M34" s="477">
        <f>'Table 4 Level 3'!AE34</f>
        <v>112.48</v>
      </c>
      <c r="N34" s="477">
        <f t="shared" si="8"/>
        <v>5091.838656239228</v>
      </c>
      <c r="O34" s="1116">
        <f t="shared" si="9"/>
        <v>412438.9311553775</v>
      </c>
      <c r="P34" s="1135">
        <f t="shared" si="10"/>
        <v>13775</v>
      </c>
      <c r="Q34" s="1135">
        <f t="shared" si="1"/>
        <v>81</v>
      </c>
      <c r="R34" s="1135">
        <f t="shared" si="2"/>
        <v>0</v>
      </c>
    </row>
    <row r="35" spans="1:18" ht="12.75">
      <c r="A35" s="125">
        <v>30</v>
      </c>
      <c r="B35" s="125" t="s">
        <v>530</v>
      </c>
      <c r="C35" s="763">
        <f>'Table 3 Levels 1&amp;2'!C37</f>
        <v>2434</v>
      </c>
      <c r="D35" s="763">
        <f>'Table 8 Membership, 2.1.09'!R34</f>
        <v>2434</v>
      </c>
      <c r="E35" s="763">
        <f>'[18]1_MFP &amp; Funded Membership'!$U38</f>
        <v>2441</v>
      </c>
      <c r="F35" s="1040">
        <f t="shared" si="3"/>
        <v>7</v>
      </c>
      <c r="G35" s="270">
        <f t="shared" si="4"/>
        <v>0.002875924404272802</v>
      </c>
      <c r="H35" s="763">
        <f t="shared" si="5"/>
        <v>0</v>
      </c>
      <c r="I35" s="763">
        <f t="shared" si="6"/>
        <v>0</v>
      </c>
      <c r="J35" s="1108">
        <f t="shared" si="7"/>
        <v>0</v>
      </c>
      <c r="K35" s="1077">
        <f>'Table 3 Levels 1&amp;2'!AL37</f>
        <v>5751.546975718981</v>
      </c>
      <c r="L35" s="1093">
        <f>'Table 4 Level 3'!W35+'Table 4 Level 3'!AA35</f>
        <v>337.59</v>
      </c>
      <c r="M35" s="1077">
        <f>'Table 4 Level 3'!AE35</f>
        <v>107.28</v>
      </c>
      <c r="N35" s="1077">
        <f t="shared" si="8"/>
        <v>6196.416975718981</v>
      </c>
      <c r="O35" s="1117">
        <f t="shared" si="9"/>
        <v>0</v>
      </c>
      <c r="P35" s="1136">
        <f t="shared" si="10"/>
        <v>2434</v>
      </c>
      <c r="Q35" s="1136">
        <f t="shared" si="1"/>
        <v>0</v>
      </c>
      <c r="R35" s="1136">
        <f t="shared" si="2"/>
        <v>-7</v>
      </c>
    </row>
    <row r="36" spans="1:18" ht="12.75">
      <c r="A36" s="124">
        <v>31</v>
      </c>
      <c r="B36" s="124" t="s">
        <v>531</v>
      </c>
      <c r="C36" s="761">
        <f>'Table 3 Levels 1&amp;2'!C38</f>
        <v>6543</v>
      </c>
      <c r="D36" s="761">
        <f>'Table 8 Membership, 2.1.09'!R35</f>
        <v>6543</v>
      </c>
      <c r="E36" s="761">
        <f>'[18]1_MFP &amp; Funded Membership'!$U39</f>
        <v>6462</v>
      </c>
      <c r="F36" s="1039">
        <f t="shared" si="3"/>
        <v>-81</v>
      </c>
      <c r="G36" s="269">
        <f t="shared" si="4"/>
        <v>-0.012379642365887207</v>
      </c>
      <c r="H36" s="761">
        <f t="shared" si="5"/>
        <v>0</v>
      </c>
      <c r="I36" s="761">
        <f t="shared" si="6"/>
        <v>0</v>
      </c>
      <c r="J36" s="1107">
        <f t="shared" si="7"/>
        <v>0</v>
      </c>
      <c r="K36" s="1076">
        <f>'Table 3 Levels 1&amp;2'!AL38</f>
        <v>4408.662903497111</v>
      </c>
      <c r="L36" s="1091">
        <f>'Table 4 Level 3'!W36+'Table 4 Level 3'!AA36</f>
        <v>310.35</v>
      </c>
      <c r="M36" s="1076">
        <f>'Table 4 Level 3'!AE36</f>
        <v>108.23</v>
      </c>
      <c r="N36" s="1076">
        <f t="shared" si="8"/>
        <v>4827.242903497111</v>
      </c>
      <c r="O36" s="1116">
        <f t="shared" si="9"/>
        <v>0</v>
      </c>
      <c r="P36" s="1135">
        <f t="shared" si="10"/>
        <v>6543</v>
      </c>
      <c r="Q36" s="1135">
        <f t="shared" si="1"/>
        <v>0</v>
      </c>
      <c r="R36" s="1135">
        <f t="shared" si="2"/>
        <v>81</v>
      </c>
    </row>
    <row r="37" spans="1:18" ht="12.75">
      <c r="A37" s="124">
        <v>32</v>
      </c>
      <c r="B37" s="124" t="s">
        <v>532</v>
      </c>
      <c r="C37" s="761">
        <f>'Table 3 Levels 1&amp;2'!C39</f>
        <v>23578</v>
      </c>
      <c r="D37" s="761">
        <f>'Table 8 Membership, 2.1.09'!R36</f>
        <v>23578</v>
      </c>
      <c r="E37" s="761">
        <f>'[18]1_MFP &amp; Funded Membership'!$U40</f>
        <v>23920</v>
      </c>
      <c r="F37" s="1039">
        <f t="shared" si="3"/>
        <v>342</v>
      </c>
      <c r="G37" s="269">
        <f t="shared" si="4"/>
        <v>0.014505047077784375</v>
      </c>
      <c r="H37" s="761">
        <f t="shared" si="5"/>
        <v>342</v>
      </c>
      <c r="I37" s="761">
        <f t="shared" si="6"/>
        <v>0</v>
      </c>
      <c r="J37" s="1107">
        <f t="shared" si="7"/>
        <v>342</v>
      </c>
      <c r="K37" s="1076">
        <f>'Table 3 Levels 1&amp;2'!AL39</f>
        <v>5616.641812814488</v>
      </c>
      <c r="L37" s="1091">
        <f>'Table 4 Level 3'!W37+'Table 4 Level 3'!AA37</f>
        <v>278.99</v>
      </c>
      <c r="M37" s="1076">
        <f>'Table 4 Level 3'!AE37</f>
        <v>96.61</v>
      </c>
      <c r="N37" s="1076">
        <f t="shared" si="8"/>
        <v>5992.241812814487</v>
      </c>
      <c r="O37" s="1116">
        <f t="shared" si="9"/>
        <v>2049346.6999825547</v>
      </c>
      <c r="P37" s="1135">
        <f t="shared" si="10"/>
        <v>23920</v>
      </c>
      <c r="Q37" s="1135">
        <f t="shared" si="1"/>
        <v>342</v>
      </c>
      <c r="R37" s="1135">
        <f t="shared" si="2"/>
        <v>0</v>
      </c>
    </row>
    <row r="38" spans="1:18" ht="12.75">
      <c r="A38" s="124">
        <v>33</v>
      </c>
      <c r="B38" s="124" t="s">
        <v>533</v>
      </c>
      <c r="C38" s="762">
        <f>'Table 3 Levels 1&amp;2'!C40</f>
        <v>1958</v>
      </c>
      <c r="D38" s="762">
        <f>'Table 8 Membership, 2.1.09'!R37</f>
        <v>1958</v>
      </c>
      <c r="E38" s="762">
        <f>'[18]1_MFP &amp; Funded Membership'!$U41</f>
        <v>1867</v>
      </c>
      <c r="F38" s="1039">
        <f t="shared" si="3"/>
        <v>-91</v>
      </c>
      <c r="G38" s="269">
        <f t="shared" si="4"/>
        <v>-0.04647599591419816</v>
      </c>
      <c r="H38" s="762">
        <f t="shared" si="5"/>
        <v>0</v>
      </c>
      <c r="I38" s="762">
        <f t="shared" si="6"/>
        <v>0</v>
      </c>
      <c r="J38" s="1107">
        <f t="shared" si="7"/>
        <v>0</v>
      </c>
      <c r="K38" s="477">
        <f>'Table 3 Levels 1&amp;2'!AL40</f>
        <v>7019.993943587334</v>
      </c>
      <c r="L38" s="1092">
        <f>'Table 4 Level 3'!W38+'Table 4 Level 3'!AA38</f>
        <v>285.59</v>
      </c>
      <c r="M38" s="477">
        <f>'Table 4 Level 3'!AE38</f>
        <v>0</v>
      </c>
      <c r="N38" s="477">
        <f t="shared" si="8"/>
        <v>7305.583943587334</v>
      </c>
      <c r="O38" s="1116">
        <f t="shared" si="9"/>
        <v>0</v>
      </c>
      <c r="P38" s="1135">
        <f t="shared" si="10"/>
        <v>1958</v>
      </c>
      <c r="Q38" s="1135">
        <f t="shared" si="1"/>
        <v>0</v>
      </c>
      <c r="R38" s="1135">
        <f t="shared" si="2"/>
        <v>91</v>
      </c>
    </row>
    <row r="39" spans="1:18" ht="12.75">
      <c r="A39" s="124">
        <v>34</v>
      </c>
      <c r="B39" s="124" t="s">
        <v>534</v>
      </c>
      <c r="C39" s="762">
        <f>'Table 3 Levels 1&amp;2'!C41</f>
        <v>4655</v>
      </c>
      <c r="D39" s="762">
        <f>'Table 8 Membership, 2.1.09'!R38</f>
        <v>4655</v>
      </c>
      <c r="E39" s="762">
        <f>'[18]1_MFP &amp; Funded Membership'!$U42</f>
        <v>4608</v>
      </c>
      <c r="F39" s="1039">
        <f t="shared" si="3"/>
        <v>-47</v>
      </c>
      <c r="G39" s="269">
        <f t="shared" si="4"/>
        <v>-0.010096670247046188</v>
      </c>
      <c r="H39" s="762">
        <f t="shared" si="5"/>
        <v>0</v>
      </c>
      <c r="I39" s="762">
        <f t="shared" si="6"/>
        <v>0</v>
      </c>
      <c r="J39" s="1107">
        <f t="shared" si="7"/>
        <v>0</v>
      </c>
      <c r="K39" s="477">
        <f>'Table 3 Levels 1&amp;2'!AL41</f>
        <v>6265.844436992482</v>
      </c>
      <c r="L39" s="1092">
        <f>'Table 4 Level 3'!W39+'Table 4 Level 3'!AA39</f>
        <v>316.09000000000003</v>
      </c>
      <c r="M39" s="477">
        <f>'Table 4 Level 3'!AE39</f>
        <v>20.69</v>
      </c>
      <c r="N39" s="477">
        <f t="shared" si="8"/>
        <v>6602.624436992482</v>
      </c>
      <c r="O39" s="1116">
        <f t="shared" si="9"/>
        <v>0</v>
      </c>
      <c r="P39" s="1135">
        <f t="shared" si="10"/>
        <v>4655</v>
      </c>
      <c r="Q39" s="1135">
        <f t="shared" si="1"/>
        <v>0</v>
      </c>
      <c r="R39" s="1135">
        <f t="shared" si="2"/>
        <v>47</v>
      </c>
    </row>
    <row r="40" spans="1:18" ht="12.75">
      <c r="A40" s="125">
        <v>35</v>
      </c>
      <c r="B40" s="125" t="s">
        <v>535</v>
      </c>
      <c r="C40" s="763">
        <f>'Table 3 Levels 1&amp;2'!C42</f>
        <v>6372</v>
      </c>
      <c r="D40" s="763">
        <f>'Table 8 Membership, 2.1.09'!R39</f>
        <v>6372</v>
      </c>
      <c r="E40" s="763">
        <f>'[18]1_MFP &amp; Funded Membership'!$U43</f>
        <v>6439</v>
      </c>
      <c r="F40" s="1040">
        <f t="shared" si="3"/>
        <v>67</v>
      </c>
      <c r="G40" s="270">
        <f t="shared" si="4"/>
        <v>0.01051475204017577</v>
      </c>
      <c r="H40" s="763">
        <f t="shared" si="5"/>
        <v>67</v>
      </c>
      <c r="I40" s="763">
        <f t="shared" si="6"/>
        <v>0</v>
      </c>
      <c r="J40" s="1108">
        <f t="shared" si="7"/>
        <v>67</v>
      </c>
      <c r="K40" s="1077">
        <f>'Table 3 Levels 1&amp;2'!AL42</f>
        <v>5200.567509811676</v>
      </c>
      <c r="L40" s="1093">
        <f>'Table 4 Level 3'!W40+'Table 4 Level 3'!AA40</f>
        <v>275.8</v>
      </c>
      <c r="M40" s="1077">
        <f>'Table 4 Level 3'!AE40</f>
        <v>19.36</v>
      </c>
      <c r="N40" s="1077">
        <f t="shared" si="8"/>
        <v>5495.727509811676</v>
      </c>
      <c r="O40" s="1117">
        <f t="shared" si="9"/>
        <v>368213.7431573823</v>
      </c>
      <c r="P40" s="1136">
        <f t="shared" si="10"/>
        <v>6439</v>
      </c>
      <c r="Q40" s="1136">
        <f t="shared" si="1"/>
        <v>67</v>
      </c>
      <c r="R40" s="1136">
        <f t="shared" si="2"/>
        <v>0</v>
      </c>
    </row>
    <row r="41" spans="1:18" ht="12.75">
      <c r="A41" s="124">
        <v>36</v>
      </c>
      <c r="B41" s="124" t="s">
        <v>489</v>
      </c>
      <c r="C41" s="785">
        <f>'Table 5B1_RSD_Orleans'!C6</f>
        <v>9827</v>
      </c>
      <c r="D41" s="785">
        <f>'Table 8 Membership, 2.1.09'!R40-'Table 8 Membership, 2.1.09'!R125</f>
        <v>9827</v>
      </c>
      <c r="E41" s="762">
        <f>'[18]1_MFP &amp; Funded Membership'!$U44</f>
        <v>10079</v>
      </c>
      <c r="F41" s="1039">
        <f t="shared" si="3"/>
        <v>252</v>
      </c>
      <c r="G41" s="269">
        <f t="shared" si="4"/>
        <v>0.025643634883484277</v>
      </c>
      <c r="H41" s="762">
        <f t="shared" si="5"/>
        <v>252</v>
      </c>
      <c r="I41" s="762">
        <f t="shared" si="6"/>
        <v>0</v>
      </c>
      <c r="J41" s="1107">
        <f t="shared" si="7"/>
        <v>252</v>
      </c>
      <c r="K41" s="477">
        <f>'Table 3 Levels 1&amp;2'!AL43</f>
        <v>3253.87339114165</v>
      </c>
      <c r="L41" s="1106">
        <f>'Table 5B1_RSD_Orleans'!H6+'Table 5B1_RSD_Orleans'!L6</f>
        <v>305.29857969489746</v>
      </c>
      <c r="M41" s="1106">
        <f>'Table 5B1_RSD_Orleans'!Q6</f>
        <v>109.57319774466372</v>
      </c>
      <c r="N41" s="477">
        <f t="shared" si="8"/>
        <v>3668.7451685812107</v>
      </c>
      <c r="O41" s="1116">
        <f t="shared" si="9"/>
        <v>924523.7824824651</v>
      </c>
      <c r="P41" s="1135">
        <f t="shared" si="10"/>
        <v>10079</v>
      </c>
      <c r="Q41" s="1135">
        <f t="shared" si="1"/>
        <v>252</v>
      </c>
      <c r="R41" s="1135">
        <f t="shared" si="2"/>
        <v>0</v>
      </c>
    </row>
    <row r="42" spans="1:18" ht="12.75">
      <c r="A42" s="124">
        <v>37</v>
      </c>
      <c r="B42" s="124" t="s">
        <v>536</v>
      </c>
      <c r="C42" s="761">
        <f>'Table 3 Levels 1&amp;2'!C44</f>
        <v>18538</v>
      </c>
      <c r="D42" s="761">
        <f>'Table 8 Membership, 2.1.09'!R41</f>
        <v>18538</v>
      </c>
      <c r="E42" s="761">
        <f>'[18]1_MFP &amp; Funded Membership'!$U45</f>
        <v>18881</v>
      </c>
      <c r="F42" s="1039">
        <f t="shared" si="3"/>
        <v>343</v>
      </c>
      <c r="G42" s="269">
        <f t="shared" si="4"/>
        <v>0.01850253533282986</v>
      </c>
      <c r="H42" s="761">
        <f t="shared" si="5"/>
        <v>343</v>
      </c>
      <c r="I42" s="761">
        <f t="shared" si="6"/>
        <v>0</v>
      </c>
      <c r="J42" s="1107">
        <f t="shared" si="7"/>
        <v>343</v>
      </c>
      <c r="K42" s="1076">
        <f>'Table 3 Levels 1&amp;2'!AL44</f>
        <v>5659.540885522947</v>
      </c>
      <c r="L42" s="1091">
        <f>'Table 4 Level 3'!W42+'Table 4 Level 3'!AA42</f>
        <v>331.71000000000004</v>
      </c>
      <c r="M42" s="1076">
        <f>'Table 4 Level 3'!AE42</f>
        <v>104.58</v>
      </c>
      <c r="N42" s="1076">
        <f t="shared" si="8"/>
        <v>6095.830885522947</v>
      </c>
      <c r="O42" s="1116">
        <f t="shared" si="9"/>
        <v>2090869.993734371</v>
      </c>
      <c r="P42" s="1135">
        <f t="shared" si="10"/>
        <v>18881</v>
      </c>
      <c r="Q42" s="1135">
        <f t="shared" si="1"/>
        <v>343</v>
      </c>
      <c r="R42" s="1135">
        <f t="shared" si="2"/>
        <v>0</v>
      </c>
    </row>
    <row r="43" spans="1:18" ht="12.75">
      <c r="A43" s="124">
        <v>38</v>
      </c>
      <c r="B43" s="124" t="s">
        <v>537</v>
      </c>
      <c r="C43" s="762">
        <f>'Table 3 Levels 1&amp;2'!C45</f>
        <v>3433</v>
      </c>
      <c r="D43" s="762">
        <f>'Table 8 Membership, 2.1.09'!R42</f>
        <v>3433</v>
      </c>
      <c r="E43" s="762">
        <f>'[18]1_MFP &amp; Funded Membership'!$U46</f>
        <v>3649</v>
      </c>
      <c r="F43" s="1039">
        <f t="shared" si="3"/>
        <v>216</v>
      </c>
      <c r="G43" s="269">
        <f t="shared" si="4"/>
        <v>0.06291872997378387</v>
      </c>
      <c r="H43" s="762">
        <f t="shared" si="5"/>
        <v>216</v>
      </c>
      <c r="I43" s="762">
        <f t="shared" si="6"/>
        <v>0</v>
      </c>
      <c r="J43" s="1107">
        <f t="shared" si="7"/>
        <v>216</v>
      </c>
      <c r="K43" s="477">
        <f>'Table 3 Levels 1&amp;2'!AL45</f>
        <v>3052.6905039324206</v>
      </c>
      <c r="L43" s="1092">
        <f>'Table 4 Level 3'!W43+'Table 4 Level 3'!AA43</f>
        <v>390.2</v>
      </c>
      <c r="M43" s="477">
        <f>'Table 4 Level 3'!AE43</f>
        <v>117.93</v>
      </c>
      <c r="N43" s="477">
        <f t="shared" si="8"/>
        <v>3560.8205039324203</v>
      </c>
      <c r="O43" s="1116">
        <f t="shared" si="9"/>
        <v>769137.2288494027</v>
      </c>
      <c r="P43" s="1135">
        <f t="shared" si="10"/>
        <v>3649</v>
      </c>
      <c r="Q43" s="1135">
        <f t="shared" si="1"/>
        <v>216</v>
      </c>
      <c r="R43" s="1135">
        <f t="shared" si="2"/>
        <v>0</v>
      </c>
    </row>
    <row r="44" spans="1:18" ht="12.75">
      <c r="A44" s="124">
        <v>39</v>
      </c>
      <c r="B44" s="124" t="s">
        <v>538</v>
      </c>
      <c r="C44" s="785">
        <f>'Table 5B2_RSD_LA'!C20</f>
        <v>2462</v>
      </c>
      <c r="D44" s="785">
        <f>'Table 8 Membership, 2.1.09'!R43-'Table 8 Membership, 2.1.09'!R141</f>
        <v>2462</v>
      </c>
      <c r="E44" s="762">
        <f>'[18]1_MFP &amp; Funded Membership'!$U47</f>
        <v>2487</v>
      </c>
      <c r="F44" s="1039">
        <f t="shared" si="3"/>
        <v>25</v>
      </c>
      <c r="G44" s="269">
        <f t="shared" si="4"/>
        <v>0.010154346060113728</v>
      </c>
      <c r="H44" s="762">
        <f t="shared" si="5"/>
        <v>25</v>
      </c>
      <c r="I44" s="762">
        <f t="shared" si="6"/>
        <v>0</v>
      </c>
      <c r="J44" s="1107">
        <f t="shared" si="7"/>
        <v>25</v>
      </c>
      <c r="K44" s="477">
        <f>'Table 3 Levels 1&amp;2'!AL46</f>
        <v>3980.6376294007673</v>
      </c>
      <c r="L44" s="1092">
        <f>'Table 4 Level 3'!W44+'Table 4 Level 3'!AA44</f>
        <v>323.63</v>
      </c>
      <c r="M44" s="1106">
        <f>'Table 5B2_RSD_LA'!M20</f>
        <v>109.60573042776433</v>
      </c>
      <c r="N44" s="477">
        <f t="shared" si="8"/>
        <v>4413.873359828532</v>
      </c>
      <c r="O44" s="1116">
        <f t="shared" si="9"/>
        <v>110346.83399571328</v>
      </c>
      <c r="P44" s="1135">
        <f t="shared" si="10"/>
        <v>2487</v>
      </c>
      <c r="Q44" s="1135">
        <f t="shared" si="1"/>
        <v>25</v>
      </c>
      <c r="R44" s="1135">
        <f t="shared" si="2"/>
        <v>0</v>
      </c>
    </row>
    <row r="45" spans="1:18" ht="12.75">
      <c r="A45" s="125">
        <v>40</v>
      </c>
      <c r="B45" s="125" t="s">
        <v>539</v>
      </c>
      <c r="C45" s="763">
        <f>'Table 3 Levels 1&amp;2'!C47</f>
        <v>22600</v>
      </c>
      <c r="D45" s="763">
        <f>'Table 8 Membership, 2.1.09'!R44</f>
        <v>22600</v>
      </c>
      <c r="E45" s="763">
        <f>'[18]1_MFP &amp; Funded Membership'!$U48</f>
        <v>22861</v>
      </c>
      <c r="F45" s="1040">
        <f t="shared" si="3"/>
        <v>261</v>
      </c>
      <c r="G45" s="270">
        <f t="shared" si="4"/>
        <v>0.011548672566371682</v>
      </c>
      <c r="H45" s="763">
        <f t="shared" si="5"/>
        <v>261</v>
      </c>
      <c r="I45" s="763">
        <f t="shared" si="6"/>
        <v>0</v>
      </c>
      <c r="J45" s="1108">
        <f t="shared" si="7"/>
        <v>261</v>
      </c>
      <c r="K45" s="1077">
        <f>'Table 3 Levels 1&amp;2'!AL47</f>
        <v>5022.045894991505</v>
      </c>
      <c r="L45" s="1093">
        <f>'Table 4 Level 3'!W45+'Table 4 Level 3'!AA45</f>
        <v>320.32</v>
      </c>
      <c r="M45" s="1077">
        <f>'Table 4 Level 3'!AE45</f>
        <v>0</v>
      </c>
      <c r="N45" s="1077">
        <f t="shared" si="8"/>
        <v>5342.365894991504</v>
      </c>
      <c r="O45" s="1117">
        <f t="shared" si="9"/>
        <v>1394357.4985927825</v>
      </c>
      <c r="P45" s="1136">
        <f t="shared" si="10"/>
        <v>22861</v>
      </c>
      <c r="Q45" s="1136">
        <f t="shared" si="1"/>
        <v>261</v>
      </c>
      <c r="R45" s="1136">
        <f t="shared" si="2"/>
        <v>0</v>
      </c>
    </row>
    <row r="46" spans="1:18" ht="12.75">
      <c r="A46" s="124">
        <v>41</v>
      </c>
      <c r="B46" s="124" t="s">
        <v>540</v>
      </c>
      <c r="C46" s="761">
        <f>'Table 3 Levels 1&amp;2'!C48</f>
        <v>1375</v>
      </c>
      <c r="D46" s="761">
        <f>'Table 8 Membership, 2.1.09'!R45</f>
        <v>1375</v>
      </c>
      <c r="E46" s="761">
        <f>'[18]1_MFP &amp; Funded Membership'!$U49</f>
        <v>1430</v>
      </c>
      <c r="F46" s="1039">
        <f t="shared" si="3"/>
        <v>55</v>
      </c>
      <c r="G46" s="269">
        <f t="shared" si="4"/>
        <v>0.04</v>
      </c>
      <c r="H46" s="761">
        <f t="shared" si="5"/>
        <v>55</v>
      </c>
      <c r="I46" s="761">
        <f t="shared" si="6"/>
        <v>0</v>
      </c>
      <c r="J46" s="1107">
        <f t="shared" si="7"/>
        <v>55</v>
      </c>
      <c r="K46" s="1076">
        <f>'Table 3 Levels 1&amp;2'!AL48</f>
        <v>6733.679948020364</v>
      </c>
      <c r="L46" s="1091">
        <f>'Table 4 Level 3'!W46+'Table 4 Level 3'!AA46</f>
        <v>383.56</v>
      </c>
      <c r="M46" s="1076">
        <f>'Table 4 Level 3'!AE46</f>
        <v>48.01</v>
      </c>
      <c r="N46" s="1076">
        <f t="shared" si="8"/>
        <v>7165.249948020364</v>
      </c>
      <c r="O46" s="1116">
        <f t="shared" si="9"/>
        <v>394088.74714112</v>
      </c>
      <c r="P46" s="1135">
        <f t="shared" si="10"/>
        <v>1430</v>
      </c>
      <c r="Q46" s="1135">
        <f t="shared" si="1"/>
        <v>55</v>
      </c>
      <c r="R46" s="1135">
        <f t="shared" si="2"/>
        <v>0</v>
      </c>
    </row>
    <row r="47" spans="1:18" ht="12.75">
      <c r="A47" s="124">
        <v>42</v>
      </c>
      <c r="B47" s="124" t="s">
        <v>543</v>
      </c>
      <c r="C47" s="761">
        <f>'Table 3 Levels 1&amp;2'!C49</f>
        <v>3292</v>
      </c>
      <c r="D47" s="761">
        <f>'Table 8 Membership, 2.1.09'!R46</f>
        <v>3292</v>
      </c>
      <c r="E47" s="761">
        <f>'[18]1_MFP &amp; Funded Membership'!$U50</f>
        <v>3326</v>
      </c>
      <c r="F47" s="1039">
        <f t="shared" si="3"/>
        <v>34</v>
      </c>
      <c r="G47" s="269">
        <f t="shared" si="4"/>
        <v>0.010328068043742407</v>
      </c>
      <c r="H47" s="761">
        <f t="shared" si="5"/>
        <v>34</v>
      </c>
      <c r="I47" s="761">
        <f t="shared" si="6"/>
        <v>0</v>
      </c>
      <c r="J47" s="1107">
        <f t="shared" si="7"/>
        <v>34</v>
      </c>
      <c r="K47" s="1076">
        <f>'Table 3 Levels 1&amp;2'!AL49</f>
        <v>5779.093338400972</v>
      </c>
      <c r="L47" s="1091">
        <f>'Table 4 Level 3'!W47+'Table 4 Level 3'!AA47</f>
        <v>323.46</v>
      </c>
      <c r="M47" s="1076">
        <f>'Table 4 Level 3'!AE47</f>
        <v>0</v>
      </c>
      <c r="N47" s="1076">
        <f t="shared" si="8"/>
        <v>6102.553338400972</v>
      </c>
      <c r="O47" s="1116">
        <f t="shared" si="9"/>
        <v>207486.81350563306</v>
      </c>
      <c r="P47" s="1135">
        <f t="shared" si="10"/>
        <v>3326</v>
      </c>
      <c r="Q47" s="1135">
        <f t="shared" si="1"/>
        <v>34</v>
      </c>
      <c r="R47" s="1135">
        <f t="shared" si="2"/>
        <v>0</v>
      </c>
    </row>
    <row r="48" spans="1:18" ht="12.75">
      <c r="A48" s="124">
        <v>43</v>
      </c>
      <c r="B48" s="124" t="s">
        <v>544</v>
      </c>
      <c r="C48" s="762">
        <f>'Table 3 Levels 1&amp;2'!C50</f>
        <v>3913</v>
      </c>
      <c r="D48" s="762">
        <f>'Table 8 Membership, 2.1.09'!R47</f>
        <v>3913</v>
      </c>
      <c r="E48" s="762">
        <f>'[18]1_MFP &amp; Funded Membership'!$U51</f>
        <v>4026</v>
      </c>
      <c r="F48" s="1039">
        <f t="shared" si="3"/>
        <v>113</v>
      </c>
      <c r="G48" s="269">
        <f t="shared" si="4"/>
        <v>0.028878098645540504</v>
      </c>
      <c r="H48" s="762">
        <f t="shared" si="5"/>
        <v>113</v>
      </c>
      <c r="I48" s="762">
        <f t="shared" si="6"/>
        <v>0</v>
      </c>
      <c r="J48" s="1107">
        <f t="shared" si="7"/>
        <v>113</v>
      </c>
      <c r="K48" s="477">
        <f>'Table 3 Levels 1&amp;2'!AL50</f>
        <v>6072.171321025299</v>
      </c>
      <c r="L48" s="1092">
        <f>'Table 4 Level 3'!W48+'Table 4 Level 3'!AA48</f>
        <v>346.63</v>
      </c>
      <c r="M48" s="477">
        <f>'Table 4 Level 3'!AE48</f>
        <v>0</v>
      </c>
      <c r="N48" s="477">
        <f t="shared" si="8"/>
        <v>6418.801321025299</v>
      </c>
      <c r="O48" s="1116">
        <f t="shared" si="9"/>
        <v>725324.5492758588</v>
      </c>
      <c r="P48" s="1135">
        <f t="shared" si="10"/>
        <v>4026</v>
      </c>
      <c r="Q48" s="1135">
        <f t="shared" si="1"/>
        <v>113</v>
      </c>
      <c r="R48" s="1135">
        <f t="shared" si="2"/>
        <v>0</v>
      </c>
    </row>
    <row r="49" spans="1:18" ht="12.75">
      <c r="A49" s="124">
        <v>44</v>
      </c>
      <c r="B49" s="124" t="s">
        <v>545</v>
      </c>
      <c r="C49" s="762">
        <f>'Table 3 Levels 1&amp;2'!C51</f>
        <v>4359</v>
      </c>
      <c r="D49" s="762">
        <f>'Table 8 Membership, 2.1.09'!R48</f>
        <v>4359</v>
      </c>
      <c r="E49" s="762">
        <f>'[18]1_MFP &amp; Funded Membership'!$U52</f>
        <v>4854</v>
      </c>
      <c r="F49" s="1039">
        <f t="shared" si="3"/>
        <v>495</v>
      </c>
      <c r="G49" s="269">
        <f t="shared" si="4"/>
        <v>0.11355815554026152</v>
      </c>
      <c r="H49" s="762">
        <f t="shared" si="5"/>
        <v>495</v>
      </c>
      <c r="I49" s="762">
        <f t="shared" si="6"/>
        <v>0</v>
      </c>
      <c r="J49" s="1107">
        <f t="shared" si="7"/>
        <v>495</v>
      </c>
      <c r="K49" s="477">
        <f>'Table 3 Levels 1&amp;2'!AL51</f>
        <v>4099.9706212088095</v>
      </c>
      <c r="L49" s="1092">
        <f>'Table 4 Level 3'!W49+'Table 4 Level 3'!AA49</f>
        <v>332.81</v>
      </c>
      <c r="M49" s="477">
        <f>'Table 4 Level 3'!AE49</f>
        <v>124.45</v>
      </c>
      <c r="N49" s="477">
        <f t="shared" si="8"/>
        <v>4557.23062120881</v>
      </c>
      <c r="O49" s="1116">
        <f t="shared" si="9"/>
        <v>2255829.1574983606</v>
      </c>
      <c r="P49" s="1135">
        <f t="shared" si="10"/>
        <v>4854</v>
      </c>
      <c r="Q49" s="1135">
        <f t="shared" si="1"/>
        <v>495</v>
      </c>
      <c r="R49" s="1135">
        <f t="shared" si="2"/>
        <v>0</v>
      </c>
    </row>
    <row r="50" spans="1:18" ht="12.75">
      <c r="A50" s="125">
        <v>45</v>
      </c>
      <c r="B50" s="125" t="s">
        <v>546</v>
      </c>
      <c r="C50" s="763">
        <f>'Table 3 Levels 1&amp;2'!C52</f>
        <v>9255</v>
      </c>
      <c r="D50" s="763">
        <f>'Table 8 Membership, 2.1.09'!R49</f>
        <v>9255</v>
      </c>
      <c r="E50" s="763">
        <f>'[18]1_MFP &amp; Funded Membership'!$U53</f>
        <v>9371</v>
      </c>
      <c r="F50" s="1040">
        <f t="shared" si="3"/>
        <v>116</v>
      </c>
      <c r="G50" s="270">
        <f t="shared" si="4"/>
        <v>0.012533765532144787</v>
      </c>
      <c r="H50" s="763">
        <f t="shared" si="5"/>
        <v>116</v>
      </c>
      <c r="I50" s="763">
        <f t="shared" si="6"/>
        <v>0</v>
      </c>
      <c r="J50" s="1108">
        <f t="shared" si="7"/>
        <v>116</v>
      </c>
      <c r="K50" s="1077">
        <f>'Table 3 Levels 1&amp;2'!AL52</f>
        <v>2845.62982171799</v>
      </c>
      <c r="L50" s="1093">
        <f>'Table 4 Level 3'!W50+'Table 4 Level 3'!AA50</f>
        <v>377.5</v>
      </c>
      <c r="M50" s="1077">
        <f>'Table 4 Level 3'!AE50</f>
        <v>125.83</v>
      </c>
      <c r="N50" s="1077">
        <f t="shared" si="8"/>
        <v>3348.95982171799</v>
      </c>
      <c r="O50" s="1117">
        <f t="shared" si="9"/>
        <v>388479.33931928687</v>
      </c>
      <c r="P50" s="1136">
        <f t="shared" si="10"/>
        <v>9371</v>
      </c>
      <c r="Q50" s="1136">
        <f t="shared" si="1"/>
        <v>116</v>
      </c>
      <c r="R50" s="1136">
        <f t="shared" si="2"/>
        <v>0</v>
      </c>
    </row>
    <row r="51" spans="1:18" ht="12.75">
      <c r="A51" s="124">
        <v>46</v>
      </c>
      <c r="B51" s="124" t="s">
        <v>547</v>
      </c>
      <c r="C51" s="761">
        <f>'Table 3 Levels 1&amp;2'!C53</f>
        <v>1140</v>
      </c>
      <c r="D51" s="761">
        <f>'Table 8 Membership, 2.1.09'!R50</f>
        <v>1140</v>
      </c>
      <c r="E51" s="761">
        <f>'[18]1_MFP &amp; Funded Membership'!$U54</f>
        <v>1163</v>
      </c>
      <c r="F51" s="1039">
        <f t="shared" si="3"/>
        <v>23</v>
      </c>
      <c r="G51" s="269">
        <f t="shared" si="4"/>
        <v>0.02017543859649123</v>
      </c>
      <c r="H51" s="761">
        <f t="shared" si="5"/>
        <v>23</v>
      </c>
      <c r="I51" s="761">
        <f t="shared" si="6"/>
        <v>0</v>
      </c>
      <c r="J51" s="1107">
        <f t="shared" si="7"/>
        <v>23</v>
      </c>
      <c r="K51" s="1076">
        <f>'Table 3 Levels 1&amp;2'!AL53</f>
        <v>6097.1670822</v>
      </c>
      <c r="L51" s="1091">
        <f>'Table 4 Level 3'!W51+'Table 4 Level 3'!AA51</f>
        <v>300.99</v>
      </c>
      <c r="M51" s="1076">
        <f>'Table 4 Level 3'!AE51</f>
        <v>48.69</v>
      </c>
      <c r="N51" s="1076">
        <f t="shared" si="8"/>
        <v>6446.847082199999</v>
      </c>
      <c r="O51" s="1116">
        <f t="shared" si="9"/>
        <v>148277.4828906</v>
      </c>
      <c r="P51" s="1135">
        <f t="shared" si="10"/>
        <v>1163</v>
      </c>
      <c r="Q51" s="1135">
        <f t="shared" si="1"/>
        <v>23</v>
      </c>
      <c r="R51" s="1135">
        <f t="shared" si="2"/>
        <v>0</v>
      </c>
    </row>
    <row r="52" spans="1:18" ht="12.75">
      <c r="A52" s="124">
        <v>47</v>
      </c>
      <c r="B52" s="124" t="s">
        <v>548</v>
      </c>
      <c r="C52" s="761">
        <f>'Table 3 Levels 1&amp;2'!C54</f>
        <v>3776</v>
      </c>
      <c r="D52" s="761">
        <f>'Table 8 Membership, 2.1.09'!R51</f>
        <v>3776</v>
      </c>
      <c r="E52" s="761">
        <f>'[18]1_MFP &amp; Funded Membership'!$U55</f>
        <v>3768</v>
      </c>
      <c r="F52" s="1039">
        <f t="shared" si="3"/>
        <v>-8</v>
      </c>
      <c r="G52" s="269">
        <f t="shared" si="4"/>
        <v>-0.00211864406779661</v>
      </c>
      <c r="H52" s="761">
        <f t="shared" si="5"/>
        <v>0</v>
      </c>
      <c r="I52" s="761">
        <f t="shared" si="6"/>
        <v>0</v>
      </c>
      <c r="J52" s="1107">
        <f t="shared" si="7"/>
        <v>0</v>
      </c>
      <c r="K52" s="1076">
        <f>'Table 3 Levels 1&amp;2'!AL54</f>
        <v>4147.074712769491</v>
      </c>
      <c r="L52" s="1091">
        <f>'Table 4 Level 3'!W52+'Table 4 Level 3'!AA52</f>
        <v>354.05</v>
      </c>
      <c r="M52" s="1076">
        <f>'Table 4 Level 3'!AE52</f>
        <v>127.14</v>
      </c>
      <c r="N52" s="1076">
        <f t="shared" si="8"/>
        <v>4628.264712769492</v>
      </c>
      <c r="O52" s="1116">
        <f t="shared" si="9"/>
        <v>0</v>
      </c>
      <c r="P52" s="1135">
        <f t="shared" si="10"/>
        <v>3776</v>
      </c>
      <c r="Q52" s="1135">
        <f t="shared" si="1"/>
        <v>0</v>
      </c>
      <c r="R52" s="1135">
        <f t="shared" si="2"/>
        <v>8</v>
      </c>
    </row>
    <row r="53" spans="1:18" ht="12.75">
      <c r="A53" s="124">
        <v>48</v>
      </c>
      <c r="B53" s="124" t="s">
        <v>549</v>
      </c>
      <c r="C53" s="762">
        <f>'Table 3 Levels 1&amp;2'!C55</f>
        <v>6078</v>
      </c>
      <c r="D53" s="762">
        <f>'Table 8 Membership, 2.1.09'!R52</f>
        <v>6078</v>
      </c>
      <c r="E53" s="762">
        <f>'[18]1_MFP &amp; Funded Membership'!$U56</f>
        <v>6058</v>
      </c>
      <c r="F53" s="1039">
        <f t="shared" si="3"/>
        <v>-20</v>
      </c>
      <c r="G53" s="269">
        <f t="shared" si="4"/>
        <v>-0.003290556103981573</v>
      </c>
      <c r="H53" s="762">
        <f t="shared" si="5"/>
        <v>0</v>
      </c>
      <c r="I53" s="762">
        <f t="shared" si="6"/>
        <v>0</v>
      </c>
      <c r="J53" s="1107">
        <f t="shared" si="7"/>
        <v>0</v>
      </c>
      <c r="K53" s="477">
        <f>'Table 3 Levels 1&amp;2'!AL55</f>
        <v>4603.374317503719</v>
      </c>
      <c r="L53" s="1092">
        <f>'Table 4 Level 3'!W53+'Table 4 Level 3'!AA53</f>
        <v>342.13</v>
      </c>
      <c r="M53" s="477">
        <f>'Table 4 Level 3'!AE53</f>
        <v>124.85</v>
      </c>
      <c r="N53" s="477">
        <f t="shared" si="8"/>
        <v>5070.354317503719</v>
      </c>
      <c r="O53" s="1116">
        <f t="shared" si="9"/>
        <v>0</v>
      </c>
      <c r="P53" s="1135">
        <f t="shared" si="10"/>
        <v>6078</v>
      </c>
      <c r="Q53" s="1135">
        <f t="shared" si="1"/>
        <v>0</v>
      </c>
      <c r="R53" s="1135">
        <f t="shared" si="2"/>
        <v>20</v>
      </c>
    </row>
    <row r="54" spans="1:18" ht="12.75">
      <c r="A54" s="124">
        <v>49</v>
      </c>
      <c r="B54" s="124" t="s">
        <v>550</v>
      </c>
      <c r="C54" s="762">
        <f>'Table 3 Levels 1&amp;2'!C56</f>
        <v>14469</v>
      </c>
      <c r="D54" s="762">
        <f>'Table 8 Membership, 2.1.09'!R53</f>
        <v>14469</v>
      </c>
      <c r="E54" s="762">
        <f>'[18]1_MFP &amp; Funded Membership'!$U57</f>
        <v>14623</v>
      </c>
      <c r="F54" s="1039">
        <f t="shared" si="3"/>
        <v>154</v>
      </c>
      <c r="G54" s="269">
        <f t="shared" si="4"/>
        <v>0.010643444605708756</v>
      </c>
      <c r="H54" s="762">
        <f t="shared" si="5"/>
        <v>154</v>
      </c>
      <c r="I54" s="762">
        <f t="shared" si="6"/>
        <v>0</v>
      </c>
      <c r="J54" s="1107">
        <f t="shared" si="7"/>
        <v>154</v>
      </c>
      <c r="K54" s="477">
        <f>'Table 3 Levels 1&amp;2'!AL56</f>
        <v>5043.356478480614</v>
      </c>
      <c r="L54" s="1092">
        <f>'Table 4 Level 3'!W54+'Table 4 Level 3'!AA54</f>
        <v>312.71000000000004</v>
      </c>
      <c r="M54" s="477">
        <f>'Table 4 Level 3'!AE54</f>
        <v>41.43</v>
      </c>
      <c r="N54" s="477">
        <f t="shared" si="8"/>
        <v>5397.496478480614</v>
      </c>
      <c r="O54" s="1116">
        <f t="shared" si="9"/>
        <v>831214.4576860146</v>
      </c>
      <c r="P54" s="1135">
        <f t="shared" si="10"/>
        <v>14623</v>
      </c>
      <c r="Q54" s="1135">
        <f t="shared" si="1"/>
        <v>154</v>
      </c>
      <c r="R54" s="1135">
        <f t="shared" si="2"/>
        <v>0</v>
      </c>
    </row>
    <row r="55" spans="1:18" ht="12.75">
      <c r="A55" s="125">
        <v>50</v>
      </c>
      <c r="B55" s="125" t="s">
        <v>551</v>
      </c>
      <c r="C55" s="763">
        <f>'Table 3 Levels 1&amp;2'!C57</f>
        <v>7959</v>
      </c>
      <c r="D55" s="763">
        <f>'Table 8 Membership, 2.1.09'!R54</f>
        <v>7959</v>
      </c>
      <c r="E55" s="763">
        <f>'[18]1_MFP &amp; Funded Membership'!$U58</f>
        <v>8004</v>
      </c>
      <c r="F55" s="1040">
        <f t="shared" si="3"/>
        <v>45</v>
      </c>
      <c r="G55" s="270">
        <f t="shared" si="4"/>
        <v>0.005653976630229929</v>
      </c>
      <c r="H55" s="763">
        <f t="shared" si="5"/>
        <v>0</v>
      </c>
      <c r="I55" s="763">
        <f t="shared" si="6"/>
        <v>0</v>
      </c>
      <c r="J55" s="1108">
        <f t="shared" si="7"/>
        <v>0</v>
      </c>
      <c r="K55" s="1077">
        <f>'Table 3 Levels 1&amp;2'!AL57</f>
        <v>5310.617420976505</v>
      </c>
      <c r="L55" s="1093">
        <f>'Table 4 Level 3'!W55+'Table 4 Level 3'!AA55</f>
        <v>296.81</v>
      </c>
      <c r="M55" s="1077">
        <f>'Table 4 Level 3'!AE55</f>
        <v>97.03</v>
      </c>
      <c r="N55" s="1077">
        <f t="shared" si="8"/>
        <v>5704.457420976505</v>
      </c>
      <c r="O55" s="1117">
        <f t="shared" si="9"/>
        <v>0</v>
      </c>
      <c r="P55" s="1136">
        <f t="shared" si="10"/>
        <v>7959</v>
      </c>
      <c r="Q55" s="1136">
        <f t="shared" si="1"/>
        <v>0</v>
      </c>
      <c r="R55" s="1136">
        <f t="shared" si="2"/>
        <v>-45</v>
      </c>
    </row>
    <row r="56" spans="1:18" ht="12.75">
      <c r="A56" s="124">
        <v>51</v>
      </c>
      <c r="B56" s="124" t="s">
        <v>552</v>
      </c>
      <c r="C56" s="761">
        <f>'Table 3 Levels 1&amp;2'!C58</f>
        <v>9141</v>
      </c>
      <c r="D56" s="761">
        <f>'Table 8 Membership, 2.1.09'!R55</f>
        <v>9141</v>
      </c>
      <c r="E56" s="761">
        <f>'[18]1_MFP &amp; Funded Membership'!$U59</f>
        <v>9174</v>
      </c>
      <c r="F56" s="1039">
        <f t="shared" si="3"/>
        <v>33</v>
      </c>
      <c r="G56" s="269">
        <f t="shared" si="4"/>
        <v>0.0036101083032490976</v>
      </c>
      <c r="H56" s="761">
        <f t="shared" si="5"/>
        <v>0</v>
      </c>
      <c r="I56" s="761">
        <f t="shared" si="6"/>
        <v>0</v>
      </c>
      <c r="J56" s="1107">
        <f t="shared" si="7"/>
        <v>0</v>
      </c>
      <c r="K56" s="1076">
        <f>'Table 3 Levels 1&amp;2'!AL58</f>
        <v>4876.7710767268345</v>
      </c>
      <c r="L56" s="1091">
        <f>'Table 4 Level 3'!W56+'Table 4 Level 3'!AA56</f>
        <v>339.90999999999997</v>
      </c>
      <c r="M56" s="1076">
        <f>'Table 4 Level 3'!AE56</f>
        <v>114.98</v>
      </c>
      <c r="N56" s="1076">
        <f t="shared" si="8"/>
        <v>5331.661076726834</v>
      </c>
      <c r="O56" s="1116">
        <f t="shared" si="9"/>
        <v>0</v>
      </c>
      <c r="P56" s="1135">
        <f t="shared" si="10"/>
        <v>9141</v>
      </c>
      <c r="Q56" s="1135">
        <f t="shared" si="1"/>
        <v>0</v>
      </c>
      <c r="R56" s="1135">
        <f t="shared" si="2"/>
        <v>-33</v>
      </c>
    </row>
    <row r="57" spans="1:18" ht="12.75">
      <c r="A57" s="124">
        <v>52</v>
      </c>
      <c r="B57" s="124" t="s">
        <v>553</v>
      </c>
      <c r="C57" s="761">
        <f>'Table 3 Levels 1&amp;2'!C59</f>
        <v>34853</v>
      </c>
      <c r="D57" s="761">
        <f>'Table 8 Membership, 2.1.09'!R56</f>
        <v>34853</v>
      </c>
      <c r="E57" s="761">
        <f>'[18]1_MFP &amp; Funded Membership'!$U60</f>
        <v>35534</v>
      </c>
      <c r="F57" s="1039">
        <f t="shared" si="3"/>
        <v>681</v>
      </c>
      <c r="G57" s="269">
        <f t="shared" si="4"/>
        <v>0.019539207528763664</v>
      </c>
      <c r="H57" s="761">
        <f t="shared" si="5"/>
        <v>681</v>
      </c>
      <c r="I57" s="761">
        <f t="shared" si="6"/>
        <v>0</v>
      </c>
      <c r="J57" s="1107">
        <f t="shared" si="7"/>
        <v>681</v>
      </c>
      <c r="K57" s="1076">
        <f>'Table 3 Levels 1&amp;2'!AL59</f>
        <v>4851.084310592466</v>
      </c>
      <c r="L57" s="1091">
        <f>'Table 4 Level 3'!W57+'Table 4 Level 3'!AA57</f>
        <v>322.81</v>
      </c>
      <c r="M57" s="1076">
        <f>'Table 4 Level 3'!AE57</f>
        <v>106.85</v>
      </c>
      <c r="N57" s="1076">
        <f t="shared" si="8"/>
        <v>5280.744310592467</v>
      </c>
      <c r="O57" s="1116">
        <f t="shared" si="9"/>
        <v>3596186.87551347</v>
      </c>
      <c r="P57" s="1135">
        <f t="shared" si="10"/>
        <v>35534</v>
      </c>
      <c r="Q57" s="1135">
        <f t="shared" si="1"/>
        <v>681</v>
      </c>
      <c r="R57" s="1135">
        <f t="shared" si="2"/>
        <v>0</v>
      </c>
    </row>
    <row r="58" spans="1:18" ht="12.75">
      <c r="A58" s="124">
        <v>53</v>
      </c>
      <c r="B58" s="124" t="s">
        <v>554</v>
      </c>
      <c r="C58" s="762">
        <f>'Table 3 Levels 1&amp;2'!C60</f>
        <v>18597</v>
      </c>
      <c r="D58" s="762">
        <f>'Table 8 Membership, 2.1.09'!R57</f>
        <v>18597</v>
      </c>
      <c r="E58" s="762">
        <f>'[18]1_MFP &amp; Funded Membership'!$U61</f>
        <v>18742</v>
      </c>
      <c r="F58" s="1039">
        <f t="shared" si="3"/>
        <v>145</v>
      </c>
      <c r="G58" s="269">
        <f t="shared" si="4"/>
        <v>0.00779695649835995</v>
      </c>
      <c r="H58" s="762">
        <f t="shared" si="5"/>
        <v>145</v>
      </c>
      <c r="I58" s="762">
        <f t="shared" si="6"/>
        <v>0</v>
      </c>
      <c r="J58" s="1107">
        <f t="shared" si="7"/>
        <v>145</v>
      </c>
      <c r="K58" s="477">
        <f>'Table 3 Levels 1&amp;2'!AL60</f>
        <v>5103.676999738452</v>
      </c>
      <c r="L58" s="1092">
        <f>'Table 4 Level 3'!W58+'Table 4 Level 3'!AA58</f>
        <v>280.18</v>
      </c>
      <c r="M58" s="477">
        <f>'Table 4 Level 3'!AE58</f>
        <v>92.76</v>
      </c>
      <c r="N58" s="477">
        <f t="shared" si="8"/>
        <v>5476.616999738452</v>
      </c>
      <c r="O58" s="1116">
        <f t="shared" si="9"/>
        <v>794109.4649620756</v>
      </c>
      <c r="P58" s="1135">
        <f t="shared" si="10"/>
        <v>18742</v>
      </c>
      <c r="Q58" s="1135">
        <f t="shared" si="1"/>
        <v>145</v>
      </c>
      <c r="R58" s="1135">
        <f t="shared" si="2"/>
        <v>0</v>
      </c>
    </row>
    <row r="59" spans="1:18" ht="12.75">
      <c r="A59" s="124">
        <v>54</v>
      </c>
      <c r="B59" s="124" t="s">
        <v>555</v>
      </c>
      <c r="C59" s="762">
        <f>'Table 3 Levels 1&amp;2'!C61</f>
        <v>716</v>
      </c>
      <c r="D59" s="762">
        <f>'Table 8 Membership, 2.1.09'!R58</f>
        <v>716</v>
      </c>
      <c r="E59" s="762">
        <f>'[18]1_MFP &amp; Funded Membership'!$U62</f>
        <v>706</v>
      </c>
      <c r="F59" s="1039">
        <f t="shared" si="3"/>
        <v>-10</v>
      </c>
      <c r="G59" s="269">
        <f t="shared" si="4"/>
        <v>-0.013966480446927373</v>
      </c>
      <c r="H59" s="762">
        <f t="shared" si="5"/>
        <v>0</v>
      </c>
      <c r="I59" s="762">
        <f t="shared" si="6"/>
        <v>0</v>
      </c>
      <c r="J59" s="1107">
        <f t="shared" si="7"/>
        <v>0</v>
      </c>
      <c r="K59" s="477">
        <f>'Table 3 Levels 1&amp;2'!AL61</f>
        <v>5993.236893932961</v>
      </c>
      <c r="L59" s="1092">
        <f>'Table 4 Level 3'!W59+'Table 4 Level 3'!AA59</f>
        <v>431.16</v>
      </c>
      <c r="M59" s="477">
        <f>'Table 4 Level 3'!AE59</f>
        <v>78.45</v>
      </c>
      <c r="N59" s="477">
        <f t="shared" si="8"/>
        <v>6502.8468939329605</v>
      </c>
      <c r="O59" s="1116">
        <f t="shared" si="9"/>
        <v>0</v>
      </c>
      <c r="P59" s="1135">
        <f t="shared" si="10"/>
        <v>716</v>
      </c>
      <c r="Q59" s="1135">
        <f t="shared" si="1"/>
        <v>0</v>
      </c>
      <c r="R59" s="1135">
        <f t="shared" si="2"/>
        <v>10</v>
      </c>
    </row>
    <row r="60" spans="1:18" ht="12.75">
      <c r="A60" s="125">
        <v>55</v>
      </c>
      <c r="B60" s="125" t="s">
        <v>556</v>
      </c>
      <c r="C60" s="763">
        <f>'Table 3 Levels 1&amp;2'!C62</f>
        <v>17953</v>
      </c>
      <c r="D60" s="763">
        <f>'Table 8 Membership, 2.1.09'!R59</f>
        <v>17953</v>
      </c>
      <c r="E60" s="763">
        <f>'[18]1_MFP &amp; Funded Membership'!$U63</f>
        <v>17948</v>
      </c>
      <c r="F60" s="1040">
        <f t="shared" si="3"/>
        <v>-5</v>
      </c>
      <c r="G60" s="270">
        <f t="shared" si="4"/>
        <v>-0.0002785049852392358</v>
      </c>
      <c r="H60" s="763">
        <f t="shared" si="5"/>
        <v>0</v>
      </c>
      <c r="I60" s="763">
        <f t="shared" si="6"/>
        <v>0</v>
      </c>
      <c r="J60" s="1108">
        <f t="shared" si="7"/>
        <v>0</v>
      </c>
      <c r="K60" s="1077">
        <f>'Table 3 Levels 1&amp;2'!AL62</f>
        <v>4412.749036837297</v>
      </c>
      <c r="L60" s="1093">
        <f>'Table 4 Level 3'!W60+'Table 4 Level 3'!AA60</f>
        <v>318.52</v>
      </c>
      <c r="M60" s="1077">
        <f>'Table 4 Level 3'!AE60</f>
        <v>114.24</v>
      </c>
      <c r="N60" s="1077">
        <f t="shared" si="8"/>
        <v>4845.509036837297</v>
      </c>
      <c r="O60" s="1117">
        <f t="shared" si="9"/>
        <v>0</v>
      </c>
      <c r="P60" s="1136">
        <f t="shared" si="10"/>
        <v>17953</v>
      </c>
      <c r="Q60" s="1136">
        <f t="shared" si="1"/>
        <v>0</v>
      </c>
      <c r="R60" s="1136">
        <f t="shared" si="2"/>
        <v>5</v>
      </c>
    </row>
    <row r="61" spans="1:18" ht="12.75">
      <c r="A61" s="124">
        <v>56</v>
      </c>
      <c r="B61" s="124" t="s">
        <v>557</v>
      </c>
      <c r="C61" s="761">
        <f>'Table 3 Levels 1&amp;2'!C63</f>
        <v>2793</v>
      </c>
      <c r="D61" s="761">
        <f>'Table 8 Membership, 2.1.09'!R60</f>
        <v>2793</v>
      </c>
      <c r="E61" s="761">
        <f>'[18]1_MFP &amp; Funded Membership'!$U64</f>
        <v>2591</v>
      </c>
      <c r="F61" s="1039">
        <f t="shared" si="3"/>
        <v>-202</v>
      </c>
      <c r="G61" s="269">
        <f t="shared" si="4"/>
        <v>-0.07232366630862871</v>
      </c>
      <c r="H61" s="761">
        <f t="shared" si="5"/>
        <v>0</v>
      </c>
      <c r="I61" s="761">
        <f t="shared" si="6"/>
        <v>0</v>
      </c>
      <c r="J61" s="1107">
        <f t="shared" si="7"/>
        <v>0</v>
      </c>
      <c r="K61" s="1076">
        <f>'Table 3 Levels 1&amp;2'!AL63</f>
        <v>5738.554206138203</v>
      </c>
      <c r="L61" s="1091">
        <f>'Table 4 Level 3'!W61+'Table 4 Level 3'!AA61</f>
        <v>313.78999999999996</v>
      </c>
      <c r="M61" s="1076">
        <f>'Table 4 Level 3'!AE61</f>
        <v>99.45</v>
      </c>
      <c r="N61" s="1076">
        <f t="shared" si="8"/>
        <v>6151.794206138203</v>
      </c>
      <c r="O61" s="1116">
        <f t="shared" si="9"/>
        <v>0</v>
      </c>
      <c r="P61" s="1135">
        <f t="shared" si="10"/>
        <v>2793</v>
      </c>
      <c r="Q61" s="1135">
        <f t="shared" si="1"/>
        <v>0</v>
      </c>
      <c r="R61" s="1135">
        <f t="shared" si="2"/>
        <v>202</v>
      </c>
    </row>
    <row r="62" spans="1:18" ht="12.75">
      <c r="A62" s="124">
        <v>57</v>
      </c>
      <c r="B62" s="124" t="s">
        <v>558</v>
      </c>
      <c r="C62" s="761">
        <f>'Table 3 Levels 1&amp;2'!C64</f>
        <v>8578</v>
      </c>
      <c r="D62" s="761">
        <f>'Table 8 Membership, 2.1.09'!R61</f>
        <v>8578</v>
      </c>
      <c r="E62" s="761">
        <f>'[18]1_MFP &amp; Funded Membership'!$U65</f>
        <v>8743</v>
      </c>
      <c r="F62" s="1039">
        <f t="shared" si="3"/>
        <v>165</v>
      </c>
      <c r="G62" s="269">
        <f t="shared" si="4"/>
        <v>0.019235252972720916</v>
      </c>
      <c r="H62" s="761">
        <f t="shared" si="5"/>
        <v>165</v>
      </c>
      <c r="I62" s="761">
        <f t="shared" si="6"/>
        <v>0</v>
      </c>
      <c r="J62" s="1107">
        <f t="shared" si="7"/>
        <v>165</v>
      </c>
      <c r="K62" s="1076">
        <f>'Table 3 Levels 1&amp;2'!AL64</f>
        <v>4096.232497452554</v>
      </c>
      <c r="L62" s="1091">
        <f>'Table 4 Level 3'!W62+'Table 4 Level 3'!AA62</f>
        <v>306.25</v>
      </c>
      <c r="M62" s="1076">
        <f>'Table 4 Level 3'!AE62</f>
        <v>91.29</v>
      </c>
      <c r="N62" s="1076">
        <f t="shared" si="8"/>
        <v>4493.772497452554</v>
      </c>
      <c r="O62" s="1116">
        <f t="shared" si="9"/>
        <v>741472.4620796713</v>
      </c>
      <c r="P62" s="1135">
        <f t="shared" si="10"/>
        <v>8743</v>
      </c>
      <c r="Q62" s="1135">
        <f t="shared" si="1"/>
        <v>165</v>
      </c>
      <c r="R62" s="1135">
        <f t="shared" si="2"/>
        <v>0</v>
      </c>
    </row>
    <row r="63" spans="1:18" ht="12.75">
      <c r="A63" s="124">
        <v>58</v>
      </c>
      <c r="B63" s="124" t="s">
        <v>559</v>
      </c>
      <c r="C63" s="762">
        <f>'Table 3 Levels 1&amp;2'!C65</f>
        <v>9107</v>
      </c>
      <c r="D63" s="762">
        <f>'Table 8 Membership, 2.1.09'!R62</f>
        <v>9107</v>
      </c>
      <c r="E63" s="762">
        <f>'[21]1_MFP &amp; Funded Membership'!$U$66</f>
        <v>9363</v>
      </c>
      <c r="F63" s="1039">
        <f t="shared" si="3"/>
        <v>256</v>
      </c>
      <c r="G63" s="269">
        <f t="shared" si="4"/>
        <v>0.028110244866586143</v>
      </c>
      <c r="H63" s="762">
        <f t="shared" si="5"/>
        <v>256</v>
      </c>
      <c r="I63" s="762">
        <f t="shared" si="6"/>
        <v>0</v>
      </c>
      <c r="J63" s="1107">
        <f t="shared" si="7"/>
        <v>256</v>
      </c>
      <c r="K63" s="477">
        <f>'Table 3 Levels 1&amp;2'!AL65</f>
        <v>5774.705675490062</v>
      </c>
      <c r="L63" s="1092">
        <f>'Table 4 Level 3'!W63+'Table 4 Level 3'!AA63</f>
        <v>316.16999999999996</v>
      </c>
      <c r="M63" s="477">
        <f>'Table 4 Level 3'!AE63</f>
        <v>7.19</v>
      </c>
      <c r="N63" s="477">
        <f t="shared" si="8"/>
        <v>6098.065675490062</v>
      </c>
      <c r="O63" s="1116">
        <f t="shared" si="9"/>
        <v>1561104.8129254559</v>
      </c>
      <c r="P63" s="1135">
        <f t="shared" si="10"/>
        <v>9363</v>
      </c>
      <c r="Q63" s="1135">
        <f t="shared" si="1"/>
        <v>256</v>
      </c>
      <c r="R63" s="1135">
        <f t="shared" si="2"/>
        <v>0</v>
      </c>
    </row>
    <row r="64" spans="1:18" ht="12.75">
      <c r="A64" s="124">
        <v>59</v>
      </c>
      <c r="B64" s="124" t="s">
        <v>560</v>
      </c>
      <c r="C64" s="762">
        <f>'Table 3 Levels 1&amp;2'!C66</f>
        <v>5043</v>
      </c>
      <c r="D64" s="762">
        <f>'Table 8 Membership, 2.1.09'!R63</f>
        <v>5043</v>
      </c>
      <c r="E64" s="762">
        <f>'[18]1_MFP &amp; Funded Membership'!$U67</f>
        <v>5044</v>
      </c>
      <c r="F64" s="1039">
        <f t="shared" si="3"/>
        <v>1</v>
      </c>
      <c r="G64" s="269">
        <f t="shared" si="4"/>
        <v>0.000198294665873488</v>
      </c>
      <c r="H64" s="762">
        <f t="shared" si="5"/>
        <v>0</v>
      </c>
      <c r="I64" s="762">
        <f t="shared" si="6"/>
        <v>0</v>
      </c>
      <c r="J64" s="1107">
        <f t="shared" si="7"/>
        <v>0</v>
      </c>
      <c r="K64" s="477">
        <f>'Table 3 Levels 1&amp;2'!AL66</f>
        <v>6517.323109821138</v>
      </c>
      <c r="L64" s="1092">
        <f>'Table 4 Level 3'!W64+'Table 4 Level 3'!AA64</f>
        <v>333.35</v>
      </c>
      <c r="M64" s="477">
        <f>'Table 4 Level 3'!AE64</f>
        <v>1.84</v>
      </c>
      <c r="N64" s="477">
        <f t="shared" si="8"/>
        <v>6852.513109821139</v>
      </c>
      <c r="O64" s="1116">
        <f t="shared" si="9"/>
        <v>0</v>
      </c>
      <c r="P64" s="1135">
        <f t="shared" si="10"/>
        <v>5043</v>
      </c>
      <c r="Q64" s="1135">
        <f t="shared" si="1"/>
        <v>0</v>
      </c>
      <c r="R64" s="1135">
        <f t="shared" si="2"/>
        <v>-1</v>
      </c>
    </row>
    <row r="65" spans="1:18" ht="12.75">
      <c r="A65" s="125">
        <v>60</v>
      </c>
      <c r="B65" s="125" t="s">
        <v>561</v>
      </c>
      <c r="C65" s="763">
        <f>'Table 3 Levels 1&amp;2'!C67</f>
        <v>6912</v>
      </c>
      <c r="D65" s="763">
        <f>'Table 8 Membership, 2.1.09'!R64</f>
        <v>6912</v>
      </c>
      <c r="E65" s="763">
        <f>'[18]1_MFP &amp; Funded Membership'!$U68</f>
        <v>6901</v>
      </c>
      <c r="F65" s="1040">
        <f t="shared" si="3"/>
        <v>-11</v>
      </c>
      <c r="G65" s="270">
        <f t="shared" si="4"/>
        <v>-0.001591435185185185</v>
      </c>
      <c r="H65" s="763">
        <f t="shared" si="5"/>
        <v>0</v>
      </c>
      <c r="I65" s="763">
        <f t="shared" si="6"/>
        <v>0</v>
      </c>
      <c r="J65" s="1108">
        <f t="shared" si="7"/>
        <v>0</v>
      </c>
      <c r="K65" s="1077">
        <f>'Table 3 Levels 1&amp;2'!AL67</f>
        <v>5292.991866915278</v>
      </c>
      <c r="L65" s="1093">
        <f>'Table 4 Level 3'!W65+'Table 4 Level 3'!AA65</f>
        <v>285.65</v>
      </c>
      <c r="M65" s="1077">
        <f>'Table 4 Level 3'!AE65</f>
        <v>96.24</v>
      </c>
      <c r="N65" s="1077">
        <f t="shared" si="8"/>
        <v>5674.881866915277</v>
      </c>
      <c r="O65" s="1117">
        <f t="shared" si="9"/>
        <v>0</v>
      </c>
      <c r="P65" s="1136">
        <f t="shared" si="10"/>
        <v>6912</v>
      </c>
      <c r="Q65" s="1136">
        <f t="shared" si="1"/>
        <v>0</v>
      </c>
      <c r="R65" s="1136">
        <f t="shared" si="2"/>
        <v>11</v>
      </c>
    </row>
    <row r="66" spans="1:18" ht="12.75">
      <c r="A66" s="124">
        <v>61</v>
      </c>
      <c r="B66" s="124" t="s">
        <v>562</v>
      </c>
      <c r="C66" s="761">
        <f>'Table 3 Levels 1&amp;2'!C68</f>
        <v>3464</v>
      </c>
      <c r="D66" s="761">
        <f>'Table 8 Membership, 2.1.09'!R65</f>
        <v>3464</v>
      </c>
      <c r="E66" s="761">
        <f>'[18]1_MFP &amp; Funded Membership'!$U69</f>
        <v>3502</v>
      </c>
      <c r="F66" s="1039">
        <f t="shared" si="3"/>
        <v>38</v>
      </c>
      <c r="G66" s="269">
        <f t="shared" si="4"/>
        <v>0.010969976905311778</v>
      </c>
      <c r="H66" s="761">
        <f t="shared" si="5"/>
        <v>38</v>
      </c>
      <c r="I66" s="761">
        <f t="shared" si="6"/>
        <v>0</v>
      </c>
      <c r="J66" s="1107">
        <f t="shared" si="7"/>
        <v>38</v>
      </c>
      <c r="K66" s="1076">
        <f>'Table 3 Levels 1&amp;2'!AL68</f>
        <v>3425.1370939607386</v>
      </c>
      <c r="L66" s="1091">
        <f>'Table 4 Level 3'!W66+'Table 4 Level 3'!AA66</f>
        <v>325</v>
      </c>
      <c r="M66" s="1076">
        <f>'Table 4 Level 3'!AE66</f>
        <v>123.39</v>
      </c>
      <c r="N66" s="1076">
        <f t="shared" si="8"/>
        <v>3873.5270939607385</v>
      </c>
      <c r="O66" s="1116">
        <f t="shared" si="9"/>
        <v>147194.02957050805</v>
      </c>
      <c r="P66" s="1135">
        <f t="shared" si="10"/>
        <v>3502</v>
      </c>
      <c r="Q66" s="1135">
        <f t="shared" si="1"/>
        <v>38</v>
      </c>
      <c r="R66" s="1135">
        <f t="shared" si="2"/>
        <v>0</v>
      </c>
    </row>
    <row r="67" spans="1:18" ht="12.75">
      <c r="A67" s="124">
        <v>62</v>
      </c>
      <c r="B67" s="124" t="s">
        <v>563</v>
      </c>
      <c r="C67" s="761">
        <f>'Table 3 Levels 1&amp;2'!C69</f>
        <v>2108</v>
      </c>
      <c r="D67" s="761">
        <f>'Table 8 Membership, 2.1.09'!R66</f>
        <v>2108</v>
      </c>
      <c r="E67" s="761">
        <f>'[18]1_MFP &amp; Funded Membership'!$U70</f>
        <v>2145</v>
      </c>
      <c r="F67" s="1039">
        <f t="shared" si="3"/>
        <v>37</v>
      </c>
      <c r="G67" s="269">
        <f t="shared" si="4"/>
        <v>0.017552182163187855</v>
      </c>
      <c r="H67" s="761">
        <f t="shared" si="5"/>
        <v>37</v>
      </c>
      <c r="I67" s="761">
        <f t="shared" si="6"/>
        <v>0</v>
      </c>
      <c r="J67" s="1107">
        <f t="shared" si="7"/>
        <v>37</v>
      </c>
      <c r="K67" s="1076">
        <f>'Table 3 Levels 1&amp;2'!AL69</f>
        <v>5810.311052189752</v>
      </c>
      <c r="L67" s="1091">
        <f>'Table 4 Level 3'!W67+'Table 4 Level 3'!AA67</f>
        <v>301.49</v>
      </c>
      <c r="M67" s="1076">
        <f>'Table 4 Level 3'!AE67</f>
        <v>0</v>
      </c>
      <c r="N67" s="1076">
        <f t="shared" si="8"/>
        <v>6111.801052189752</v>
      </c>
      <c r="O67" s="1116">
        <f t="shared" si="9"/>
        <v>226136.63893102083</v>
      </c>
      <c r="P67" s="1135">
        <f t="shared" si="10"/>
        <v>2145</v>
      </c>
      <c r="Q67" s="1135">
        <f t="shared" si="1"/>
        <v>37</v>
      </c>
      <c r="R67" s="1135">
        <f t="shared" si="2"/>
        <v>0</v>
      </c>
    </row>
    <row r="68" spans="1:18" ht="12.75">
      <c r="A68" s="124">
        <v>63</v>
      </c>
      <c r="B68" s="124" t="s">
        <v>564</v>
      </c>
      <c r="C68" s="762">
        <f>'Table 3 Levels 1&amp;2'!C70</f>
        <v>2116</v>
      </c>
      <c r="D68" s="762">
        <f>'Table 8 Membership, 2.1.09'!R67</f>
        <v>2116</v>
      </c>
      <c r="E68" s="762">
        <f>'[18]1_MFP &amp; Funded Membership'!$U71</f>
        <v>2106</v>
      </c>
      <c r="F68" s="1039">
        <f t="shared" si="3"/>
        <v>-10</v>
      </c>
      <c r="G68" s="269">
        <f t="shared" si="4"/>
        <v>-0.004725897920604915</v>
      </c>
      <c r="H68" s="762">
        <f t="shared" si="5"/>
        <v>0</v>
      </c>
      <c r="I68" s="762">
        <f t="shared" si="6"/>
        <v>0</v>
      </c>
      <c r="J68" s="1107">
        <f t="shared" si="7"/>
        <v>0</v>
      </c>
      <c r="K68" s="477">
        <f>'Table 3 Levels 1&amp;2'!AL70</f>
        <v>4838.557208899055</v>
      </c>
      <c r="L68" s="1092">
        <f>'Table 4 Level 3'!W68+'Table 4 Level 3'!AA68</f>
        <v>378.31</v>
      </c>
      <c r="M68" s="477">
        <f>'Table 4 Level 3'!AE68</f>
        <v>129.68</v>
      </c>
      <c r="N68" s="477">
        <f t="shared" si="8"/>
        <v>5346.5472088990555</v>
      </c>
      <c r="O68" s="1116">
        <f t="shared" si="9"/>
        <v>0</v>
      </c>
      <c r="P68" s="1135">
        <f t="shared" si="10"/>
        <v>2116</v>
      </c>
      <c r="Q68" s="1135">
        <f t="shared" si="1"/>
        <v>0</v>
      </c>
      <c r="R68" s="1135">
        <f t="shared" si="2"/>
        <v>10</v>
      </c>
    </row>
    <row r="69" spans="1:18" ht="12.75">
      <c r="A69" s="124">
        <v>64</v>
      </c>
      <c r="B69" s="124" t="s">
        <v>565</v>
      </c>
      <c r="C69" s="762">
        <f>'Table 3 Levels 1&amp;2'!C71</f>
        <v>2505</v>
      </c>
      <c r="D69" s="762">
        <f>'Table 8 Membership, 2.1.09'!R68</f>
        <v>2505</v>
      </c>
      <c r="E69" s="762">
        <f>'[18]1_MFP &amp; Funded Membership'!$U72</f>
        <v>2505</v>
      </c>
      <c r="F69" s="1039">
        <f t="shared" si="3"/>
        <v>0</v>
      </c>
      <c r="G69" s="269">
        <f t="shared" si="4"/>
        <v>0</v>
      </c>
      <c r="H69" s="762">
        <f t="shared" si="5"/>
        <v>0</v>
      </c>
      <c r="I69" s="762">
        <f t="shared" si="6"/>
        <v>0</v>
      </c>
      <c r="J69" s="1107">
        <f t="shared" si="7"/>
        <v>0</v>
      </c>
      <c r="K69" s="477">
        <f>'Table 3 Levels 1&amp;2'!AL71</f>
        <v>5867.100148661078</v>
      </c>
      <c r="L69" s="1092">
        <f>'Table 4 Level 3'!W69+'Table 4 Level 3'!AA69</f>
        <v>323.44</v>
      </c>
      <c r="M69" s="477">
        <f>'Table 4 Level 3'!AE69</f>
        <v>0</v>
      </c>
      <c r="N69" s="477">
        <f t="shared" si="8"/>
        <v>6190.540148661077</v>
      </c>
      <c r="O69" s="1116">
        <f t="shared" si="9"/>
        <v>0</v>
      </c>
      <c r="P69" s="1135">
        <f t="shared" si="10"/>
        <v>2505</v>
      </c>
      <c r="Q69" s="1135">
        <f t="shared" si="1"/>
        <v>0</v>
      </c>
      <c r="R69" s="1135">
        <f t="shared" si="2"/>
        <v>0</v>
      </c>
    </row>
    <row r="70" spans="1:18" ht="12.75">
      <c r="A70" s="125">
        <v>65</v>
      </c>
      <c r="B70" s="125" t="s">
        <v>566</v>
      </c>
      <c r="C70" s="763">
        <f>'Table 3 Levels 1&amp;2'!C72</f>
        <v>8305</v>
      </c>
      <c r="D70" s="763">
        <f>'Table 8 Membership, 2.1.09'!R69</f>
        <v>8305</v>
      </c>
      <c r="E70" s="763">
        <f>'[18]1_MFP &amp; Funded Membership'!$U73</f>
        <v>8260</v>
      </c>
      <c r="F70" s="1040">
        <f t="shared" si="3"/>
        <v>-45</v>
      </c>
      <c r="G70" s="270">
        <f t="shared" si="4"/>
        <v>-0.005418422636965683</v>
      </c>
      <c r="H70" s="763">
        <f t="shared" si="5"/>
        <v>0</v>
      </c>
      <c r="I70" s="763">
        <f t="shared" si="6"/>
        <v>0</v>
      </c>
      <c r="J70" s="1108">
        <f t="shared" si="7"/>
        <v>0</v>
      </c>
      <c r="K70" s="1077">
        <f>'Table 3 Levels 1&amp;2'!AL72</f>
        <v>4699.173457976882</v>
      </c>
      <c r="L70" s="1093">
        <f>'Table 4 Level 3'!W70+'Table 4 Level 3'!AA70</f>
        <v>335.42</v>
      </c>
      <c r="M70" s="1077">
        <f>'Table 4 Level 3'!AE70</f>
        <v>110.11</v>
      </c>
      <c r="N70" s="1077">
        <f t="shared" si="8"/>
        <v>5144.7034579768815</v>
      </c>
      <c r="O70" s="1117">
        <f t="shared" si="9"/>
        <v>0</v>
      </c>
      <c r="P70" s="1136">
        <f t="shared" si="10"/>
        <v>8305</v>
      </c>
      <c r="Q70" s="1136">
        <f>P70-C70</f>
        <v>0</v>
      </c>
      <c r="R70" s="1136">
        <f>P70-E70</f>
        <v>45</v>
      </c>
    </row>
    <row r="71" spans="1:18" ht="12.75">
      <c r="A71" s="765">
        <v>66</v>
      </c>
      <c r="B71" s="765" t="s">
        <v>567</v>
      </c>
      <c r="C71" s="762">
        <f>'Table 3 Levels 1&amp;2'!C73</f>
        <v>2166</v>
      </c>
      <c r="D71" s="762">
        <f>'Table 8 Membership, 2.1.09'!R70</f>
        <v>2166</v>
      </c>
      <c r="E71" s="762">
        <f>'[18]1_MFP &amp; Funded Membership'!$U74</f>
        <v>2168</v>
      </c>
      <c r="F71" s="1039">
        <f>E71-D71</f>
        <v>2</v>
      </c>
      <c r="G71" s="269">
        <f>IF(D71=0,1,(F71)/D71)</f>
        <v>0.0009233610341643582</v>
      </c>
      <c r="H71" s="762">
        <f aca="true" t="shared" si="11" ref="H71:H138">IF(OR(G71&gt;0.99%=TRUE,F71&gt;49=TRUE),E71-D71,0)</f>
        <v>0</v>
      </c>
      <c r="I71" s="762">
        <f>C71-D71</f>
        <v>0</v>
      </c>
      <c r="J71" s="1107">
        <f>H71-I71</f>
        <v>0</v>
      </c>
      <c r="K71" s="477">
        <f>'Table 3 Levels 1&amp;2'!AL73</f>
        <v>5975.551622899354</v>
      </c>
      <c r="L71" s="1092">
        <f>'Table 4 Level 3'!W71+'Table 4 Level 3'!AA71</f>
        <v>378.68999999999994</v>
      </c>
      <c r="M71" s="477">
        <f>'Table 4 Level 3'!AE71</f>
        <v>112.62</v>
      </c>
      <c r="N71" s="477">
        <f>K71+L71+M71</f>
        <v>6466.861622899353</v>
      </c>
      <c r="O71" s="1116">
        <f>J71*N71</f>
        <v>0</v>
      </c>
      <c r="P71" s="1135">
        <f>IF(OR(G71&gt;0.99%=TRUE,F71&gt;49=TRUE),E71,D71)</f>
        <v>2166</v>
      </c>
      <c r="Q71" s="1135">
        <f>P71-C71</f>
        <v>0</v>
      </c>
      <c r="R71" s="1135">
        <f>P71-E71</f>
        <v>-2</v>
      </c>
    </row>
    <row r="72" spans="1:18" ht="12.75">
      <c r="A72" s="124">
        <v>67</v>
      </c>
      <c r="B72" s="124" t="s">
        <v>568</v>
      </c>
      <c r="C72" s="761">
        <f>'Table 3 Levels 1&amp;2'!C74</f>
        <v>4489</v>
      </c>
      <c r="D72" s="761">
        <f>'Table 8 Membership, 2.1.09'!R71</f>
        <v>4489</v>
      </c>
      <c r="E72" s="761">
        <f>'[18]1_MFP &amp; Funded Membership'!$U75</f>
        <v>4755</v>
      </c>
      <c r="F72" s="1039">
        <f>E72-D72</f>
        <v>266</v>
      </c>
      <c r="G72" s="269">
        <f>IF(D72=0,1,(F72)/D72)</f>
        <v>0.05925595901091557</v>
      </c>
      <c r="H72" s="761">
        <f t="shared" si="11"/>
        <v>266</v>
      </c>
      <c r="I72" s="761">
        <f>C72-D72</f>
        <v>0</v>
      </c>
      <c r="J72" s="1107">
        <f>H72-I72</f>
        <v>266</v>
      </c>
      <c r="K72" s="1076">
        <f>'Table 3 Levels 1&amp;2'!AL74</f>
        <v>5391.273907702829</v>
      </c>
      <c r="L72" s="1091">
        <f>'Table 4 Level 3'!W72+'Table 4 Level 3'!AA72</f>
        <v>262.98</v>
      </c>
      <c r="M72" s="1076">
        <f>'Table 4 Level 3'!AE72</f>
        <v>94.62</v>
      </c>
      <c r="N72" s="1076">
        <f>K72+L72+M72</f>
        <v>5748.873907702829</v>
      </c>
      <c r="O72" s="1116">
        <f>J72*N72</f>
        <v>1529200.4594489525</v>
      </c>
      <c r="P72" s="1135">
        <f>IF(OR(G72&gt;0.99%=TRUE,F72&gt;49=TRUE),E72,D72)</f>
        <v>4755</v>
      </c>
      <c r="Q72" s="1135">
        <f>P72-C72</f>
        <v>266</v>
      </c>
      <c r="R72" s="1135">
        <f>P72-E72</f>
        <v>0</v>
      </c>
    </row>
    <row r="73" spans="1:18" ht="12.75">
      <c r="A73" s="124">
        <v>68</v>
      </c>
      <c r="B73" s="124" t="s">
        <v>569</v>
      </c>
      <c r="C73" s="761">
        <f>'Table 3 Levels 1&amp;2'!C75</f>
        <v>1816</v>
      </c>
      <c r="D73" s="761">
        <f>'Table 8 Membership, 2.1.09'!R72</f>
        <v>1816</v>
      </c>
      <c r="E73" s="761">
        <f>'[18]1_MFP &amp; Funded Membership'!$U76</f>
        <v>1909</v>
      </c>
      <c r="F73" s="1039">
        <f>E73-D73</f>
        <v>93</v>
      </c>
      <c r="G73" s="269">
        <f>IF(D73=0,1,(F73)/D73)</f>
        <v>0.051211453744493395</v>
      </c>
      <c r="H73" s="761">
        <f t="shared" si="11"/>
        <v>93</v>
      </c>
      <c r="I73" s="761">
        <f>C73-D73</f>
        <v>0</v>
      </c>
      <c r="J73" s="1107">
        <f>H73-I73</f>
        <v>93</v>
      </c>
      <c r="K73" s="1076">
        <f>'Table 3 Levels 1&amp;2'!AL75</f>
        <v>6470.310196905727</v>
      </c>
      <c r="L73" s="1091">
        <f>'Table 4 Level 3'!W73+'Table 4 Level 3'!AA73</f>
        <v>309.47</v>
      </c>
      <c r="M73" s="1076">
        <f>'Table 4 Level 3'!AE73</f>
        <v>100.32</v>
      </c>
      <c r="N73" s="1076">
        <f>K73+L73+M73</f>
        <v>6880.100196905727</v>
      </c>
      <c r="O73" s="1116">
        <f>J73*N73</f>
        <v>639849.3183122326</v>
      </c>
      <c r="P73" s="1135">
        <f>IF(OR(G73&gt;0.99%=TRUE,F73&gt;49=TRUE),E73,D73)</f>
        <v>1909</v>
      </c>
      <c r="Q73" s="1135">
        <f>P73-C73</f>
        <v>93</v>
      </c>
      <c r="R73" s="1135">
        <f>P73-E73</f>
        <v>0</v>
      </c>
    </row>
    <row r="74" spans="1:18" ht="12.75">
      <c r="A74" s="764">
        <v>69</v>
      </c>
      <c r="B74" s="766" t="s">
        <v>570</v>
      </c>
      <c r="C74" s="761">
        <f>'Table 3 Levels 1&amp;2'!C76</f>
        <v>3538</v>
      </c>
      <c r="D74" s="761">
        <f>'Table 8 Membership, 2.1.09'!R73</f>
        <v>3538</v>
      </c>
      <c r="E74" s="761">
        <f>'[18]1_MFP &amp; Funded Membership'!$U77</f>
        <v>3737</v>
      </c>
      <c r="F74" s="1039">
        <f>E74-D74</f>
        <v>199</v>
      </c>
      <c r="G74" s="269">
        <f>IF(D74=0,1,(F74)/D74)</f>
        <v>0.05624646693046919</v>
      </c>
      <c r="H74" s="761">
        <f t="shared" si="11"/>
        <v>199</v>
      </c>
      <c r="I74" s="761">
        <f>C74-D74</f>
        <v>0</v>
      </c>
      <c r="J74" s="1107">
        <f>H74-I74</f>
        <v>199</v>
      </c>
      <c r="K74" s="1076">
        <f>'Table 3 Levels 1&amp;2'!AL76</f>
        <v>5076.308975900509</v>
      </c>
      <c r="L74" s="1091">
        <f>'Table 4 Level 3'!W74+'Table 4 Level 3'!AA74</f>
        <v>232.04000000000002</v>
      </c>
      <c r="M74" s="1076">
        <f>'Table 4 Level 3'!AE74</f>
        <v>94.5</v>
      </c>
      <c r="N74" s="1076">
        <f>K74+L74+M74</f>
        <v>5402.848975900509</v>
      </c>
      <c r="O74" s="1116">
        <f>J74*N74</f>
        <v>1075166.9462042013</v>
      </c>
      <c r="P74" s="1135">
        <f>IF(OR(G74&gt;0.99%=TRUE,F74&gt;49=TRUE),E74,D74)</f>
        <v>3737</v>
      </c>
      <c r="Q74" s="1135">
        <f>P74-C74</f>
        <v>199</v>
      </c>
      <c r="R74" s="1135">
        <f>P74-E74</f>
        <v>0</v>
      </c>
    </row>
    <row r="75" spans="1:18" ht="13.5" thickBot="1">
      <c r="A75" s="918"/>
      <c r="B75" s="919" t="s">
        <v>571</v>
      </c>
      <c r="C75" s="921">
        <f>SUM(C6:C74)</f>
        <v>621848</v>
      </c>
      <c r="D75" s="921">
        <f>SUM(D6:D74)</f>
        <v>621848</v>
      </c>
      <c r="E75" s="921">
        <f>SUM(E6:E74)</f>
        <v>630321</v>
      </c>
      <c r="F75" s="923">
        <f>SUM(F6:F74)</f>
        <v>8473</v>
      </c>
      <c r="G75" s="1052">
        <f>IF(D75=0,1,(F75)/D75)</f>
        <v>0.013625516203316566</v>
      </c>
      <c r="H75" s="921">
        <f>SUM(H6:H74)</f>
        <v>9432</v>
      </c>
      <c r="I75" s="921">
        <f>SUM(I6:I74)</f>
        <v>0</v>
      </c>
      <c r="J75" s="1109">
        <f>SUM(J6:J74)</f>
        <v>9432</v>
      </c>
      <c r="K75" s="1078"/>
      <c r="L75" s="1094"/>
      <c r="M75" s="1078"/>
      <c r="N75" s="1078"/>
      <c r="O75" s="1118">
        <f>SUM(O6:O74)</f>
        <v>45804939.49024414</v>
      </c>
      <c r="P75" s="1133">
        <f>SUM(P6:P74)</f>
        <v>631280</v>
      </c>
      <c r="Q75" s="1133">
        <f>SUM(Q6:Q74)</f>
        <v>9432</v>
      </c>
      <c r="R75" s="1133">
        <f>SUM(R6:R74)</f>
        <v>959</v>
      </c>
    </row>
    <row r="76" spans="1:18" ht="6.75" customHeight="1" thickTop="1">
      <c r="A76" s="915"/>
      <c r="B76" s="916"/>
      <c r="C76" s="917"/>
      <c r="D76" s="917"/>
      <c r="E76" s="917"/>
      <c r="F76" s="917"/>
      <c r="G76" s="1053"/>
      <c r="H76" s="917"/>
      <c r="I76" s="917"/>
      <c r="J76" s="1067"/>
      <c r="K76" s="1079"/>
      <c r="L76" s="1095"/>
      <c r="M76" s="1079"/>
      <c r="N76" s="1079"/>
      <c r="O76" s="1079"/>
      <c r="P76" s="1137"/>
      <c r="Q76" s="1137"/>
      <c r="R76" s="1137"/>
    </row>
    <row r="77" spans="1:18" ht="12.75" customHeight="1">
      <c r="A77" s="470"/>
      <c r="B77" s="470" t="s">
        <v>572</v>
      </c>
      <c r="C77" s="773">
        <f>'Table 5A Lab Schools'!B8</f>
        <v>1344</v>
      </c>
      <c r="D77" s="773">
        <f>'Table 8 Membership, 2.1.09'!R76</f>
        <v>1344</v>
      </c>
      <c r="E77" s="773">
        <f>'[18]1_MFP &amp; Funded Membership'!$U90</f>
        <v>1359</v>
      </c>
      <c r="F77" s="1041">
        <f>E77-D77</f>
        <v>15</v>
      </c>
      <c r="G77" s="1054">
        <f>IF(D77=0,1,(F77)/D77)</f>
        <v>0.011160714285714286</v>
      </c>
      <c r="H77" s="773">
        <f t="shared" si="11"/>
        <v>15</v>
      </c>
      <c r="I77" s="773">
        <f>C77-D77</f>
        <v>0</v>
      </c>
      <c r="J77" s="1110">
        <f>H77-I77</f>
        <v>15</v>
      </c>
      <c r="K77" s="1080">
        <f>'Table 5A Lab Schools'!C8</f>
        <v>4624.882160539793</v>
      </c>
      <c r="L77" s="1096">
        <f>'Table 5A Lab Schools'!G8+'Table 5A Lab Schools'!K8</f>
        <v>219</v>
      </c>
      <c r="M77" s="1080">
        <f>'Table 5A Lab Schools'!P8</f>
        <v>83.10185873605948</v>
      </c>
      <c r="N77" s="1080">
        <f>K77+L77+M77</f>
        <v>4926.984019275853</v>
      </c>
      <c r="O77" s="1131">
        <f>J77*N77</f>
        <v>73904.76028913779</v>
      </c>
      <c r="P77" s="1138">
        <f>E77</f>
        <v>1359</v>
      </c>
      <c r="Q77" s="1138">
        <f>P77-C77</f>
        <v>15</v>
      </c>
      <c r="R77" s="1138">
        <f>P77-E77</f>
        <v>0</v>
      </c>
    </row>
    <row r="78" spans="1:18" ht="12.75">
      <c r="A78" s="764"/>
      <c r="B78" s="764" t="s">
        <v>573</v>
      </c>
      <c r="C78" s="775">
        <f>'Table 5A Lab Schools'!B9</f>
        <v>345</v>
      </c>
      <c r="D78" s="775">
        <f>'Table 8 Membership, 2.1.09'!R77</f>
        <v>345</v>
      </c>
      <c r="E78" s="775">
        <f>'[18]1_MFP &amp; Funded Membership'!$U91</f>
        <v>348</v>
      </c>
      <c r="F78" s="1040">
        <f>E78-D78</f>
        <v>3</v>
      </c>
      <c r="G78" s="270">
        <f>IF(D78=0,1,(F78)/D78)</f>
        <v>0.008695652173913044</v>
      </c>
      <c r="H78" s="775">
        <f t="shared" si="11"/>
        <v>0</v>
      </c>
      <c r="I78" s="775">
        <f>C78-D78</f>
        <v>0</v>
      </c>
      <c r="J78" s="1108">
        <f>H78-I78</f>
        <v>0</v>
      </c>
      <c r="K78" s="1144">
        <f>'Table 5A Lab Schools'!C9</f>
        <v>4624.882160539793</v>
      </c>
      <c r="L78" s="1145">
        <f>'Table 5A Lab Schools'!G9+'Table 5A Lab Schools'!K9</f>
        <v>276</v>
      </c>
      <c r="M78" s="1144">
        <f>'Table 5A Lab Schools'!P9</f>
        <v>120.02832861189802</v>
      </c>
      <c r="N78" s="1144">
        <f>K78+L78+M78</f>
        <v>5020.910489151692</v>
      </c>
      <c r="O78" s="1117">
        <f>J78*N78</f>
        <v>0</v>
      </c>
      <c r="P78" s="1136">
        <f>C78</f>
        <v>345</v>
      </c>
      <c r="Q78" s="1136">
        <f>P78-C78</f>
        <v>0</v>
      </c>
      <c r="R78" s="1136">
        <f>P78-E78</f>
        <v>-3</v>
      </c>
    </row>
    <row r="79" spans="1:18" ht="12.75">
      <c r="A79" s="988"/>
      <c r="B79" s="1071" t="s">
        <v>574</v>
      </c>
      <c r="C79" s="1146">
        <f>SUM(C77:C78)</f>
        <v>1689</v>
      </c>
      <c r="D79" s="1146">
        <f>SUM(D77:D78)</f>
        <v>1689</v>
      </c>
      <c r="E79" s="1146">
        <f>SUM(E77:E78)</f>
        <v>1707</v>
      </c>
      <c r="F79" s="1147">
        <f>SUM(F77:F78)</f>
        <v>18</v>
      </c>
      <c r="G79" s="1148">
        <f>IF(D79=0,1,(F79)/D79)</f>
        <v>0.010657193605683837</v>
      </c>
      <c r="H79" s="1146">
        <f>SUM(H77:H78)</f>
        <v>15</v>
      </c>
      <c r="I79" s="1146">
        <f>SUM(I77:I78)</f>
        <v>0</v>
      </c>
      <c r="J79" s="1149">
        <f>SUM(J77:J78)</f>
        <v>15</v>
      </c>
      <c r="K79" s="1150"/>
      <c r="L79" s="1151"/>
      <c r="M79" s="1150"/>
      <c r="N79" s="1150"/>
      <c r="O79" s="1152">
        <f>SUM(O77:O78)</f>
        <v>73904.76028913779</v>
      </c>
      <c r="P79" s="1153">
        <f>SUM(P77:P78)</f>
        <v>1704</v>
      </c>
      <c r="Q79" s="1153">
        <f>SUM(Q77:Q78)</f>
        <v>15</v>
      </c>
      <c r="R79" s="1153">
        <f>SUM(R77:R78)</f>
        <v>-3</v>
      </c>
    </row>
    <row r="80" spans="1:18" ht="6.75" customHeight="1">
      <c r="A80" s="915"/>
      <c r="B80" s="916"/>
      <c r="C80" s="917"/>
      <c r="D80" s="917"/>
      <c r="E80" s="917"/>
      <c r="F80" s="917"/>
      <c r="G80" s="1053"/>
      <c r="H80" s="917"/>
      <c r="I80" s="917"/>
      <c r="J80" s="1067"/>
      <c r="K80" s="1079"/>
      <c r="L80" s="1095"/>
      <c r="M80" s="1079"/>
      <c r="N80" s="1079"/>
      <c r="O80" s="1079"/>
      <c r="P80" s="1137"/>
      <c r="Q80" s="1137"/>
      <c r="R80" s="1137"/>
    </row>
    <row r="81" spans="1:18" s="95" customFormat="1" ht="12" customHeight="1">
      <c r="A81" s="799"/>
      <c r="B81" s="800" t="s">
        <v>785</v>
      </c>
      <c r="C81" s="802">
        <f>'Table 5C_Type 2'!C5</f>
        <v>92</v>
      </c>
      <c r="D81" s="802">
        <v>0</v>
      </c>
      <c r="E81" s="802">
        <f>'[18]1_MFP &amp; Funded Membership'!$U$114</f>
        <v>92</v>
      </c>
      <c r="F81" s="1045">
        <f>E81-D81</f>
        <v>92</v>
      </c>
      <c r="G81" s="1059">
        <f>IF(D81=0,1,(F81)/D81)</f>
        <v>1</v>
      </c>
      <c r="H81" s="802">
        <f>IF(OR(G81&gt;0.99%=TRUE,F81&gt;49=TRUE),E81-D81,0)</f>
        <v>92</v>
      </c>
      <c r="I81" s="802">
        <f>C81-D81</f>
        <v>92</v>
      </c>
      <c r="J81" s="1107">
        <f>H81-I81</f>
        <v>0</v>
      </c>
      <c r="K81" s="1085">
        <f>'Table 5C_Type 2'!D5</f>
        <v>3632.310699762789</v>
      </c>
      <c r="L81" s="1100">
        <f>'Table 5C_Type 2'!F5</f>
        <v>309.24</v>
      </c>
      <c r="M81" s="1085">
        <f>'Table 5C_Type 2'!H5</f>
        <v>113.10762416806803</v>
      </c>
      <c r="N81" s="1085">
        <f>K81+L81+M81</f>
        <v>4054.658323930857</v>
      </c>
      <c r="O81" s="1116">
        <f>J81*N81</f>
        <v>0</v>
      </c>
      <c r="P81" s="1135">
        <f>E81</f>
        <v>92</v>
      </c>
      <c r="Q81" s="1135">
        <f>P81-C81</f>
        <v>0</v>
      </c>
      <c r="R81" s="1135">
        <f>P81-E81</f>
        <v>0</v>
      </c>
    </row>
    <row r="82" spans="1:18" s="95" customFormat="1" ht="12" customHeight="1">
      <c r="A82" s="799"/>
      <c r="B82" s="804" t="s">
        <v>786</v>
      </c>
      <c r="C82" s="802">
        <f>'Table 5C_Type 2'!C6</f>
        <v>202</v>
      </c>
      <c r="D82" s="802">
        <v>0</v>
      </c>
      <c r="E82" s="802">
        <f>'[18]1_MFP &amp; Funded Membership'!$U$112</f>
        <v>202</v>
      </c>
      <c r="F82" s="1045">
        <f>E82-D82</f>
        <v>202</v>
      </c>
      <c r="G82" s="1059">
        <f>IF(D82=0,1,(F82)/D82)</f>
        <v>1</v>
      </c>
      <c r="H82" s="802">
        <f>IF(OR(G82&gt;0.99%=TRUE,F82&gt;49=TRUE),E82-D82,0)</f>
        <v>202</v>
      </c>
      <c r="I82" s="802">
        <f>C82-D82</f>
        <v>202</v>
      </c>
      <c r="J82" s="1107">
        <f>H82-I82</f>
        <v>0</v>
      </c>
      <c r="K82" s="1085">
        <f>'Table 5C_Type 2'!D6</f>
        <v>5738.554206138203</v>
      </c>
      <c r="L82" s="1100">
        <f>'Table 5C_Type 2'!F6</f>
        <v>313.78999999999996</v>
      </c>
      <c r="M82" s="1085">
        <f>'Table 5C_Type 2'!H6</f>
        <v>99.45</v>
      </c>
      <c r="N82" s="1085">
        <f>K82+L82+M82</f>
        <v>6151.794206138203</v>
      </c>
      <c r="O82" s="1116">
        <f>J82*N82</f>
        <v>0</v>
      </c>
      <c r="P82" s="1135">
        <f>E82</f>
        <v>202</v>
      </c>
      <c r="Q82" s="1135">
        <f>P82-C82</f>
        <v>0</v>
      </c>
      <c r="R82" s="1135">
        <f>P82-E82</f>
        <v>0</v>
      </c>
    </row>
    <row r="83" spans="1:18" ht="12.75">
      <c r="A83" s="470"/>
      <c r="B83" s="768" t="s">
        <v>787</v>
      </c>
      <c r="C83" s="43">
        <f>SUM(C81:C82)</f>
        <v>294</v>
      </c>
      <c r="D83" s="43">
        <f>SUM(D81:D82)</f>
        <v>0</v>
      </c>
      <c r="E83" s="43">
        <f>SUM(E81:E82)</f>
        <v>294</v>
      </c>
      <c r="F83" s="471">
        <f>SUM(F81:F82)</f>
        <v>294</v>
      </c>
      <c r="G83" s="1055">
        <f>IF(D83=0,1,(F83)/D83)</f>
        <v>1</v>
      </c>
      <c r="H83" s="43">
        <f>SUM(H81:H82)</f>
        <v>294</v>
      </c>
      <c r="I83" s="43">
        <f>SUM(I81:I82)</f>
        <v>294</v>
      </c>
      <c r="J83" s="1111">
        <f>SUM(J81:J82)</f>
        <v>0</v>
      </c>
      <c r="K83" s="1081"/>
      <c r="L83" s="1097"/>
      <c r="M83" s="1081"/>
      <c r="N83" s="1081"/>
      <c r="O83" s="1132">
        <f>SUM(O81:O82)</f>
        <v>0</v>
      </c>
      <c r="P83" s="1139">
        <f>SUM(P81:P82)</f>
        <v>294</v>
      </c>
      <c r="Q83" s="1139">
        <f>SUM(Q81:Q82)</f>
        <v>0</v>
      </c>
      <c r="R83" s="1139">
        <f>SUM(R81:R82)</f>
        <v>0</v>
      </c>
    </row>
    <row r="84" spans="1:18" ht="7.5" customHeight="1">
      <c r="A84" s="770"/>
      <c r="B84" s="771"/>
      <c r="C84" s="772"/>
      <c r="D84" s="772"/>
      <c r="E84" s="772"/>
      <c r="F84" s="1042"/>
      <c r="G84" s="1056"/>
      <c r="H84" s="772"/>
      <c r="I84" s="772"/>
      <c r="J84" s="1042"/>
      <c r="K84" s="1082"/>
      <c r="L84" s="1098"/>
      <c r="M84" s="1082"/>
      <c r="N84" s="1082"/>
      <c r="O84" s="1082"/>
      <c r="P84" s="1140"/>
      <c r="Q84" s="1140"/>
      <c r="R84" s="1140"/>
    </row>
    <row r="85" spans="1:18" ht="16.5" customHeight="1">
      <c r="A85" s="811"/>
      <c r="B85" s="812" t="s">
        <v>575</v>
      </c>
      <c r="C85" s="813">
        <f>'Table 5B1_RSD_Orleans'!C8</f>
        <v>11671</v>
      </c>
      <c r="D85" s="813">
        <f>'RSD-LDE Membership Explanation'!A29</f>
        <v>11648</v>
      </c>
      <c r="E85" s="813">
        <f>'[18]1_MFP &amp; Funded Membership'!$U$153</f>
        <v>11218</v>
      </c>
      <c r="F85" s="1043">
        <f>E85-D85</f>
        <v>-430</v>
      </c>
      <c r="G85" s="1057">
        <f>IF(D85=0,1,(F85)/D85)</f>
        <v>-0.03691620879120879</v>
      </c>
      <c r="H85" s="813">
        <f t="shared" si="11"/>
        <v>0</v>
      </c>
      <c r="I85" s="813">
        <f>C85-D85</f>
        <v>23</v>
      </c>
      <c r="J85" s="1043">
        <f>H85-I85</f>
        <v>-23</v>
      </c>
      <c r="K85" s="1083">
        <f>'Table 5B1_RSD_Orleans'!D8</f>
        <v>3253.87339114165</v>
      </c>
      <c r="L85" s="869">
        <f>'Table 5B1_RSD_Orleans'!H8+'Table 5B1_RSD_Orleans'!L8</f>
        <v>389.8554183560634</v>
      </c>
      <c r="M85" s="1083">
        <f>'Table 5B1_RSD_Orleans'!Q8</f>
        <v>94.83702650723305</v>
      </c>
      <c r="N85" s="1083">
        <f>K85+L85+M85</f>
        <v>3738.565836004946</v>
      </c>
      <c r="O85" s="1083">
        <f>J85*N85</f>
        <v>-85987.01422811375</v>
      </c>
      <c r="P85" s="1134">
        <f>12158-92-158-140-120</f>
        <v>11648</v>
      </c>
      <c r="Q85" s="1134">
        <f>P85-C85</f>
        <v>-23</v>
      </c>
      <c r="R85" s="1134">
        <f>P85-E85</f>
        <v>430</v>
      </c>
    </row>
    <row r="86" spans="1:18" ht="6.75" customHeight="1">
      <c r="A86" s="770"/>
      <c r="B86" s="771"/>
      <c r="C86" s="772"/>
      <c r="D86" s="772"/>
      <c r="E86" s="772"/>
      <c r="F86" s="1042"/>
      <c r="G86" s="1056"/>
      <c r="H86" s="772"/>
      <c r="I86" s="772"/>
      <c r="J86" s="1042"/>
      <c r="K86" s="1082"/>
      <c r="L86" s="1098"/>
      <c r="M86" s="1082"/>
      <c r="N86" s="1082"/>
      <c r="O86" s="1082"/>
      <c r="P86" s="1140"/>
      <c r="Q86" s="1140"/>
      <c r="R86" s="1140"/>
    </row>
    <row r="87" spans="1:18" s="95" customFormat="1" ht="12" customHeight="1">
      <c r="A87" s="165"/>
      <c r="B87" s="776" t="s">
        <v>576</v>
      </c>
      <c r="C87" s="777">
        <f>'Table 5B1_RSD_Orleans'!C11</f>
        <v>319</v>
      </c>
      <c r="D87" s="777">
        <f>'Table 8 Membership, 2.1.09'!R86</f>
        <v>319</v>
      </c>
      <c r="E87" s="777">
        <f>'[19]RSD Members &amp; At-Risk by Site'!$X$25</f>
        <v>373</v>
      </c>
      <c r="F87" s="1044">
        <f aca="true" t="shared" si="12" ref="F87:F123">E87-D87</f>
        <v>54</v>
      </c>
      <c r="G87" s="1058">
        <f aca="true" t="shared" si="13" ref="G87:G123">IF(D87=0,1,(F87)/D87)</f>
        <v>0.16927899686520376</v>
      </c>
      <c r="H87" s="777">
        <f t="shared" si="11"/>
        <v>54</v>
      </c>
      <c r="I87" s="777">
        <f aca="true" t="shared" si="14" ref="I87:I123">C87-D87</f>
        <v>0</v>
      </c>
      <c r="J87" s="1112">
        <f aca="true" t="shared" si="15" ref="J87:J123">H87-I87</f>
        <v>54</v>
      </c>
      <c r="K87" s="1084">
        <f>'Table 5B1_RSD_Orleans'!D11</f>
        <v>3253.87339114165</v>
      </c>
      <c r="L87" s="1099">
        <f>'Table 5B1_RSD_Orleans'!H11+'Table 5B1_RSD_Orleans'!L11</f>
        <v>285.0705128205128</v>
      </c>
      <c r="M87" s="1084">
        <f>'Table 5B1_RSD_Orleans'!Q11</f>
        <v>133.23899371069183</v>
      </c>
      <c r="N87" s="1084">
        <f aca="true" t="shared" si="16" ref="N87:N123">K87+L87+M87</f>
        <v>3672.1828976728543</v>
      </c>
      <c r="O87" s="1120">
        <f aca="true" t="shared" si="17" ref="O87:O123">J87*N87</f>
        <v>198297.87647433413</v>
      </c>
      <c r="P87" s="1141">
        <f>E87</f>
        <v>373</v>
      </c>
      <c r="Q87" s="1141">
        <f aca="true" t="shared" si="18" ref="Q87:Q123">P87-C87</f>
        <v>54</v>
      </c>
      <c r="R87" s="1141">
        <f aca="true" t="shared" si="19" ref="R87:R123">P87-E87</f>
        <v>0</v>
      </c>
    </row>
    <row r="88" spans="1:18" s="95" customFormat="1" ht="12" customHeight="1">
      <c r="A88" s="799"/>
      <c r="B88" s="800" t="s">
        <v>737</v>
      </c>
      <c r="C88" s="802">
        <f>'Table 5B1_RSD_Orleans'!C12</f>
        <v>350</v>
      </c>
      <c r="D88" s="802">
        <f>'Table 8 Membership, 2.1.09'!R87</f>
        <v>350</v>
      </c>
      <c r="E88" s="802">
        <f>'[19]RSD Members &amp; At-Risk by Site'!$X$24</f>
        <v>426</v>
      </c>
      <c r="F88" s="1045">
        <f t="shared" si="12"/>
        <v>76</v>
      </c>
      <c r="G88" s="1059">
        <f t="shared" si="13"/>
        <v>0.21714285714285714</v>
      </c>
      <c r="H88" s="802">
        <f t="shared" si="11"/>
        <v>76</v>
      </c>
      <c r="I88" s="802">
        <f t="shared" si="14"/>
        <v>0</v>
      </c>
      <c r="J88" s="1107">
        <f t="shared" si="15"/>
        <v>76</v>
      </c>
      <c r="K88" s="1085">
        <f>'Table 5B1_RSD_Orleans'!D12</f>
        <v>3253.87339114165</v>
      </c>
      <c r="L88" s="1100">
        <f>'Table 5B1_RSD_Orleans'!H12+'Table 5B1_RSD_Orleans'!L12</f>
        <v>316.51492537313436</v>
      </c>
      <c r="M88" s="1085">
        <f>'Table 5B1_RSD_Orleans'!Q12</f>
        <v>138.846921797005</v>
      </c>
      <c r="N88" s="1085">
        <f t="shared" si="16"/>
        <v>3709.235238311789</v>
      </c>
      <c r="O88" s="1116">
        <f t="shared" si="17"/>
        <v>281901.878111696</v>
      </c>
      <c r="P88" s="1135">
        <f aca="true" t="shared" si="20" ref="P88:P123">E88</f>
        <v>426</v>
      </c>
      <c r="Q88" s="1135">
        <f t="shared" si="18"/>
        <v>76</v>
      </c>
      <c r="R88" s="1135">
        <f t="shared" si="19"/>
        <v>0</v>
      </c>
    </row>
    <row r="89" spans="1:18" s="95" customFormat="1" ht="12" customHeight="1">
      <c r="A89" s="124"/>
      <c r="B89" s="778" t="s">
        <v>577</v>
      </c>
      <c r="C89" s="762">
        <f>'Table 5B1_RSD_Orleans'!C13</f>
        <v>696</v>
      </c>
      <c r="D89" s="762">
        <f>'Table 8 Membership, 2.1.09'!R88</f>
        <v>696</v>
      </c>
      <c r="E89" s="762">
        <f>'[19]RSD Members &amp; At-Risk by Site'!$X$42</f>
        <v>574</v>
      </c>
      <c r="F89" s="418">
        <f t="shared" si="12"/>
        <v>-122</v>
      </c>
      <c r="G89" s="1060">
        <f t="shared" si="13"/>
        <v>-0.1752873563218391</v>
      </c>
      <c r="H89" s="762">
        <f t="shared" si="11"/>
        <v>0</v>
      </c>
      <c r="I89" s="762">
        <f t="shared" si="14"/>
        <v>0</v>
      </c>
      <c r="J89" s="1107">
        <f t="shared" si="15"/>
        <v>0</v>
      </c>
      <c r="K89" s="477">
        <f>'Table 5B1_RSD_Orleans'!D13</f>
        <v>3253.87339114165</v>
      </c>
      <c r="L89" s="1092">
        <f>'Table 5B1_RSD_Orleans'!H13+'Table 5B1_RSD_Orleans'!L13</f>
        <v>256.8524332810047</v>
      </c>
      <c r="M89" s="477">
        <f>'Table 5B1_RSD_Orleans'!Q13</f>
        <v>81.33991537376586</v>
      </c>
      <c r="N89" s="477">
        <f t="shared" si="16"/>
        <v>3592.0657397964205</v>
      </c>
      <c r="O89" s="1116">
        <f t="shared" si="17"/>
        <v>0</v>
      </c>
      <c r="P89" s="1135">
        <f>C89</f>
        <v>696</v>
      </c>
      <c r="Q89" s="1135">
        <f t="shared" si="18"/>
        <v>0</v>
      </c>
      <c r="R89" s="1135">
        <f t="shared" si="19"/>
        <v>122</v>
      </c>
    </row>
    <row r="90" spans="1:18" s="95" customFormat="1" ht="12" customHeight="1">
      <c r="A90" s="124"/>
      <c r="B90" s="778" t="s">
        <v>578</v>
      </c>
      <c r="C90" s="762">
        <f>'Table 5B1_RSD_Orleans'!C14</f>
        <v>558</v>
      </c>
      <c r="D90" s="762">
        <f>'Table 8 Membership, 2.1.09'!R89</f>
        <v>558</v>
      </c>
      <c r="E90" s="762">
        <f>'[19]RSD Members &amp; At-Risk by Site'!$X$43</f>
        <v>621</v>
      </c>
      <c r="F90" s="418">
        <f t="shared" si="12"/>
        <v>63</v>
      </c>
      <c r="G90" s="1060">
        <f t="shared" si="13"/>
        <v>0.11290322580645161</v>
      </c>
      <c r="H90" s="762">
        <f t="shared" si="11"/>
        <v>63</v>
      </c>
      <c r="I90" s="762">
        <f t="shared" si="14"/>
        <v>0</v>
      </c>
      <c r="J90" s="1107">
        <f t="shared" si="15"/>
        <v>63</v>
      </c>
      <c r="K90" s="477">
        <f>'Table 5B1_RSD_Orleans'!D14</f>
        <v>3253.87339114165</v>
      </c>
      <c r="L90" s="1092">
        <f>'Table 5B1_RSD_Orleans'!H14+'Table 5B1_RSD_Orleans'!L14</f>
        <v>321.7417218543046</v>
      </c>
      <c r="M90" s="477">
        <f>'Table 5B1_RSD_Orleans'!Q14</f>
        <v>87.18165784832452</v>
      </c>
      <c r="N90" s="477">
        <f t="shared" si="16"/>
        <v>3662.796770844279</v>
      </c>
      <c r="O90" s="1116">
        <f t="shared" si="17"/>
        <v>230756.19656318956</v>
      </c>
      <c r="P90" s="1135">
        <f t="shared" si="20"/>
        <v>621</v>
      </c>
      <c r="Q90" s="1135">
        <f t="shared" si="18"/>
        <v>63</v>
      </c>
      <c r="R90" s="1135">
        <f t="shared" si="19"/>
        <v>0</v>
      </c>
    </row>
    <row r="91" spans="1:18" s="95" customFormat="1" ht="12" customHeight="1">
      <c r="A91" s="125"/>
      <c r="B91" s="779" t="s">
        <v>580</v>
      </c>
      <c r="C91" s="763">
        <f>'Table 5B1_RSD_Orleans'!C15</f>
        <v>339</v>
      </c>
      <c r="D91" s="763">
        <f>'Table 8 Membership, 2.1.09'!R91</f>
        <v>339</v>
      </c>
      <c r="E91" s="763">
        <f>'[19]RSD Members &amp; At-Risk by Site'!$X$44</f>
        <v>372</v>
      </c>
      <c r="F91" s="820">
        <f t="shared" si="12"/>
        <v>33</v>
      </c>
      <c r="G91" s="1061">
        <f t="shared" si="13"/>
        <v>0.09734513274336283</v>
      </c>
      <c r="H91" s="763">
        <f t="shared" si="11"/>
        <v>33</v>
      </c>
      <c r="I91" s="763">
        <f t="shared" si="14"/>
        <v>0</v>
      </c>
      <c r="J91" s="1108">
        <f t="shared" si="15"/>
        <v>33</v>
      </c>
      <c r="K91" s="1077">
        <f>'Table 5B1_RSD_Orleans'!D15</f>
        <v>3253.87339114165</v>
      </c>
      <c r="L91" s="1093">
        <f>'Table 5B1_RSD_Orleans'!H15+'Table 5B1_RSD_Orleans'!L15</f>
        <v>204.0275</v>
      </c>
      <c r="M91" s="1077">
        <f>'Table 5B1_RSD_Orleans'!Q15</f>
        <v>83.82905982905983</v>
      </c>
      <c r="N91" s="1077">
        <f t="shared" si="16"/>
        <v>3541.72995097071</v>
      </c>
      <c r="O91" s="1117">
        <f t="shared" si="17"/>
        <v>116877.08838203343</v>
      </c>
      <c r="P91" s="1136">
        <f t="shared" si="20"/>
        <v>372</v>
      </c>
      <c r="Q91" s="1136">
        <f t="shared" si="18"/>
        <v>33</v>
      </c>
      <c r="R91" s="1136">
        <f t="shared" si="19"/>
        <v>0</v>
      </c>
    </row>
    <row r="92" spans="1:18" s="95" customFormat="1" ht="12" customHeight="1">
      <c r="A92" s="124"/>
      <c r="B92" s="778" t="s">
        <v>581</v>
      </c>
      <c r="C92" s="762">
        <f>'Table 5B1_RSD_Orleans'!C16</f>
        <v>704</v>
      </c>
      <c r="D92" s="762">
        <f>'Table 8 Membership, 2.1.09'!R92</f>
        <v>704</v>
      </c>
      <c r="E92" s="762">
        <f>'[19]RSD Members &amp; At-Risk by Site'!$X$45</f>
        <v>738</v>
      </c>
      <c r="F92" s="418">
        <f t="shared" si="12"/>
        <v>34</v>
      </c>
      <c r="G92" s="1060">
        <f t="shared" si="13"/>
        <v>0.048295454545454544</v>
      </c>
      <c r="H92" s="762">
        <f t="shared" si="11"/>
        <v>34</v>
      </c>
      <c r="I92" s="762">
        <f t="shared" si="14"/>
        <v>0</v>
      </c>
      <c r="J92" s="1107">
        <f t="shared" si="15"/>
        <v>34</v>
      </c>
      <c r="K92" s="477">
        <f>'Table 5B1_RSD_Orleans'!D16</f>
        <v>3253.87339114165</v>
      </c>
      <c r="L92" s="1092">
        <f>'Table 5B1_RSD_Orleans'!H16+'Table 5B1_RSD_Orleans'!L16</f>
        <v>346.5087108013937</v>
      </c>
      <c r="M92" s="477">
        <f>'Table 5B1_RSD_Orleans'!Q16</f>
        <v>118.03473227206946</v>
      </c>
      <c r="N92" s="477">
        <f t="shared" si="16"/>
        <v>3718.416834215113</v>
      </c>
      <c r="O92" s="1116">
        <f t="shared" si="17"/>
        <v>126426.17236331383</v>
      </c>
      <c r="P92" s="1135">
        <f t="shared" si="20"/>
        <v>738</v>
      </c>
      <c r="Q92" s="1135">
        <f t="shared" si="18"/>
        <v>34</v>
      </c>
      <c r="R92" s="1135">
        <f t="shared" si="19"/>
        <v>0</v>
      </c>
    </row>
    <row r="93" spans="1:18" s="95" customFormat="1" ht="12" customHeight="1">
      <c r="A93" s="124"/>
      <c r="B93" s="778" t="s">
        <v>582</v>
      </c>
      <c r="C93" s="762">
        <f>'Table 5B1_RSD_Orleans'!C17</f>
        <v>387</v>
      </c>
      <c r="D93" s="762">
        <f>'Table 8 Membership, 2.1.09'!R93</f>
        <v>387</v>
      </c>
      <c r="E93" s="762">
        <f>'[19]RSD Members &amp; At-Risk by Site'!$X$52</f>
        <v>431</v>
      </c>
      <c r="F93" s="418">
        <f t="shared" si="12"/>
        <v>44</v>
      </c>
      <c r="G93" s="1060">
        <f t="shared" si="13"/>
        <v>0.11369509043927649</v>
      </c>
      <c r="H93" s="762">
        <f t="shared" si="11"/>
        <v>44</v>
      </c>
      <c r="I93" s="762">
        <f t="shared" si="14"/>
        <v>0</v>
      </c>
      <c r="J93" s="1107">
        <f t="shared" si="15"/>
        <v>44</v>
      </c>
      <c r="K93" s="477">
        <f>'Table 5B1_RSD_Orleans'!D17</f>
        <v>3253.87339114165</v>
      </c>
      <c r="L93" s="1092">
        <f>'Table 5B1_RSD_Orleans'!H17+'Table 5B1_RSD_Orleans'!L17</f>
        <v>287.6796338672769</v>
      </c>
      <c r="M93" s="477">
        <f>'Table 5B1_RSD_Orleans'!Q17</f>
        <v>119.30684931506849</v>
      </c>
      <c r="N93" s="477">
        <f t="shared" si="16"/>
        <v>3660.8598743239954</v>
      </c>
      <c r="O93" s="1116">
        <f t="shared" si="17"/>
        <v>161077.8344702558</v>
      </c>
      <c r="P93" s="1135">
        <f t="shared" si="20"/>
        <v>431</v>
      </c>
      <c r="Q93" s="1135">
        <f t="shared" si="18"/>
        <v>44</v>
      </c>
      <c r="R93" s="1135">
        <f t="shared" si="19"/>
        <v>0</v>
      </c>
    </row>
    <row r="94" spans="1:18" s="95" customFormat="1" ht="12" customHeight="1">
      <c r="A94" s="124"/>
      <c r="B94" s="778" t="s">
        <v>583</v>
      </c>
      <c r="C94" s="762">
        <f>'Table 5B1_RSD_Orleans'!C18</f>
        <v>840</v>
      </c>
      <c r="D94" s="762">
        <f>'Table 8 Membership, 2.1.09'!R94</f>
        <v>840</v>
      </c>
      <c r="E94" s="762">
        <f>'[19]RSD Members &amp; At-Risk by Site'!$X$51</f>
        <v>857</v>
      </c>
      <c r="F94" s="418">
        <f t="shared" si="12"/>
        <v>17</v>
      </c>
      <c r="G94" s="1060">
        <f t="shared" si="13"/>
        <v>0.02023809523809524</v>
      </c>
      <c r="H94" s="762">
        <f t="shared" si="11"/>
        <v>17</v>
      </c>
      <c r="I94" s="762">
        <f t="shared" si="14"/>
        <v>0</v>
      </c>
      <c r="J94" s="1107">
        <f t="shared" si="15"/>
        <v>17</v>
      </c>
      <c r="K94" s="477">
        <f>'Table 5B1_RSD_Orleans'!D18</f>
        <v>3253.87339114165</v>
      </c>
      <c r="L94" s="1092">
        <f>'Table 5B1_RSD_Orleans'!H18+'Table 5B1_RSD_Orleans'!L18</f>
        <v>220.36469221835074</v>
      </c>
      <c r="M94" s="477">
        <f>'Table 5B1_RSD_Orleans'!Q18</f>
        <v>59.33059788980071</v>
      </c>
      <c r="N94" s="477">
        <f t="shared" si="16"/>
        <v>3533.568681249801</v>
      </c>
      <c r="O94" s="1116">
        <f t="shared" si="17"/>
        <v>60070.66758124662</v>
      </c>
      <c r="P94" s="1135">
        <f t="shared" si="20"/>
        <v>857</v>
      </c>
      <c r="Q94" s="1135">
        <f t="shared" si="18"/>
        <v>17</v>
      </c>
      <c r="R94" s="1135">
        <f t="shared" si="19"/>
        <v>0</v>
      </c>
    </row>
    <row r="95" spans="1:18" s="95" customFormat="1" ht="12" customHeight="1">
      <c r="A95" s="124"/>
      <c r="B95" s="778" t="s">
        <v>584</v>
      </c>
      <c r="C95" s="762">
        <f>'Table 5B1_RSD_Orleans'!C19</f>
        <v>472</v>
      </c>
      <c r="D95" s="762">
        <f>'Table 8 Membership, 2.1.09'!R95</f>
        <v>472</v>
      </c>
      <c r="E95" s="762">
        <f>'[19]RSD Members &amp; At-Risk by Site'!$X$50</f>
        <v>533</v>
      </c>
      <c r="F95" s="418">
        <f t="shared" si="12"/>
        <v>61</v>
      </c>
      <c r="G95" s="1060">
        <f t="shared" si="13"/>
        <v>0.1292372881355932</v>
      </c>
      <c r="H95" s="762">
        <f t="shared" si="11"/>
        <v>61</v>
      </c>
      <c r="I95" s="762">
        <f t="shared" si="14"/>
        <v>0</v>
      </c>
      <c r="J95" s="1107">
        <f t="shared" si="15"/>
        <v>61</v>
      </c>
      <c r="K95" s="477">
        <f>'Table 5B1_RSD_Orleans'!D19</f>
        <v>3253.87339114165</v>
      </c>
      <c r="L95" s="1092">
        <f>'Table 5B1_RSD_Orleans'!H19+'Table 5B1_RSD_Orleans'!L19</f>
        <v>522.2659574468084</v>
      </c>
      <c r="M95" s="477">
        <f>'Table 5B1_RSD_Orleans'!Q19</f>
        <v>168.8438818565401</v>
      </c>
      <c r="N95" s="477">
        <f t="shared" si="16"/>
        <v>3944.9832304449983</v>
      </c>
      <c r="O95" s="1116">
        <f t="shared" si="17"/>
        <v>240643.9770571449</v>
      </c>
      <c r="P95" s="1135">
        <f t="shared" si="20"/>
        <v>533</v>
      </c>
      <c r="Q95" s="1135">
        <f t="shared" si="18"/>
        <v>61</v>
      </c>
      <c r="R95" s="1135">
        <f t="shared" si="19"/>
        <v>0</v>
      </c>
    </row>
    <row r="96" spans="1:18" s="95" customFormat="1" ht="12" customHeight="1">
      <c r="A96" s="125"/>
      <c r="B96" s="779" t="s">
        <v>738</v>
      </c>
      <c r="C96" s="763">
        <f>'Table 5B1_RSD_Orleans'!C20</f>
        <v>395</v>
      </c>
      <c r="D96" s="763">
        <f>'Table 8 Membership, 2.1.09'!R96</f>
        <v>395</v>
      </c>
      <c r="E96" s="763">
        <f>'[19]RSD Members &amp; At-Risk by Site'!$X$49</f>
        <v>411</v>
      </c>
      <c r="F96" s="820">
        <f t="shared" si="12"/>
        <v>16</v>
      </c>
      <c r="G96" s="1061">
        <f t="shared" si="13"/>
        <v>0.04050632911392405</v>
      </c>
      <c r="H96" s="763">
        <f t="shared" si="11"/>
        <v>16</v>
      </c>
      <c r="I96" s="763">
        <f t="shared" si="14"/>
        <v>0</v>
      </c>
      <c r="J96" s="1108">
        <f t="shared" si="15"/>
        <v>16</v>
      </c>
      <c r="K96" s="1077">
        <f>'Table 5B1_RSD_Orleans'!D20</f>
        <v>3253.87339114165</v>
      </c>
      <c r="L96" s="1093">
        <f>'Table 5B1_RSD_Orleans'!H20+'Table 5B1_RSD_Orleans'!L20</f>
        <v>302.2557544757033</v>
      </c>
      <c r="M96" s="1077">
        <f>'Table 5B1_RSD_Orleans'!Q20</f>
        <v>146.74300254452928</v>
      </c>
      <c r="N96" s="1077">
        <f t="shared" si="16"/>
        <v>3702.8721481618823</v>
      </c>
      <c r="O96" s="1117">
        <f t="shared" si="17"/>
        <v>59245.954370590116</v>
      </c>
      <c r="P96" s="1136">
        <f t="shared" si="20"/>
        <v>411</v>
      </c>
      <c r="Q96" s="1136">
        <f t="shared" si="18"/>
        <v>16</v>
      </c>
      <c r="R96" s="1136">
        <f t="shared" si="19"/>
        <v>0</v>
      </c>
    </row>
    <row r="97" spans="1:18" s="95" customFormat="1" ht="12" customHeight="1">
      <c r="A97" s="124"/>
      <c r="B97" s="778" t="s">
        <v>586</v>
      </c>
      <c r="C97" s="762">
        <f>'Table 5B1_RSD_Orleans'!C21</f>
        <v>542</v>
      </c>
      <c r="D97" s="762">
        <f>'Table 8 Membership, 2.1.09'!R97</f>
        <v>542</v>
      </c>
      <c r="E97" s="762">
        <f>'[19]RSD Members &amp; At-Risk by Site'!$X$48</f>
        <v>574</v>
      </c>
      <c r="F97" s="418">
        <f t="shared" si="12"/>
        <v>32</v>
      </c>
      <c r="G97" s="1060">
        <f t="shared" si="13"/>
        <v>0.05904059040590406</v>
      </c>
      <c r="H97" s="762">
        <f t="shared" si="11"/>
        <v>32</v>
      </c>
      <c r="I97" s="762">
        <f t="shared" si="14"/>
        <v>0</v>
      </c>
      <c r="J97" s="1107">
        <f t="shared" si="15"/>
        <v>32</v>
      </c>
      <c r="K97" s="477">
        <f>'Table 5B1_RSD_Orleans'!D21</f>
        <v>3253.87339114165</v>
      </c>
      <c r="L97" s="1092">
        <f>'Table 5B1_RSD_Orleans'!H21+'Table 5B1_RSD_Orleans'!L21</f>
        <v>281.2543021032505</v>
      </c>
      <c r="M97" s="477">
        <f>'Table 5B1_RSD_Orleans'!Q21</f>
        <v>93.30810810810812</v>
      </c>
      <c r="N97" s="477">
        <f t="shared" si="16"/>
        <v>3628.4358013530086</v>
      </c>
      <c r="O97" s="1116">
        <f t="shared" si="17"/>
        <v>116109.94564329628</v>
      </c>
      <c r="P97" s="1135">
        <f t="shared" si="20"/>
        <v>574</v>
      </c>
      <c r="Q97" s="1135">
        <f t="shared" si="18"/>
        <v>32</v>
      </c>
      <c r="R97" s="1135">
        <f t="shared" si="19"/>
        <v>0</v>
      </c>
    </row>
    <row r="98" spans="1:18" ht="12" customHeight="1">
      <c r="A98" s="124"/>
      <c r="B98" s="778" t="s">
        <v>587</v>
      </c>
      <c r="C98" s="762">
        <f>'Table 5B1_RSD_Orleans'!C22</f>
        <v>584</v>
      </c>
      <c r="D98" s="762">
        <f>'Table 8 Membership, 2.1.09'!R98</f>
        <v>584</v>
      </c>
      <c r="E98" s="762">
        <f>'[19]RSD Members &amp; At-Risk by Site'!$X$47</f>
        <v>579</v>
      </c>
      <c r="F98" s="418">
        <f t="shared" si="12"/>
        <v>-5</v>
      </c>
      <c r="G98" s="1060">
        <f t="shared" si="13"/>
        <v>-0.008561643835616438</v>
      </c>
      <c r="H98" s="762">
        <f t="shared" si="11"/>
        <v>0</v>
      </c>
      <c r="I98" s="762">
        <f t="shared" si="14"/>
        <v>0</v>
      </c>
      <c r="J98" s="1107">
        <f t="shared" si="15"/>
        <v>0</v>
      </c>
      <c r="K98" s="477">
        <f>'Table 5B1_RSD_Orleans'!D22</f>
        <v>3253.87339114165</v>
      </c>
      <c r="L98" s="1092">
        <f>'Table 5B1_RSD_Orleans'!H22+'Table 5B1_RSD_Orleans'!L22</f>
        <v>313.9794238683128</v>
      </c>
      <c r="M98" s="477">
        <f>'Table 5B1_RSD_Orleans'!Q22</f>
        <v>52.04251700680272</v>
      </c>
      <c r="N98" s="477">
        <f t="shared" si="16"/>
        <v>3619.8953320167657</v>
      </c>
      <c r="O98" s="1116">
        <f t="shared" si="17"/>
        <v>0</v>
      </c>
      <c r="P98" s="1135">
        <f>C98</f>
        <v>584</v>
      </c>
      <c r="Q98" s="1135">
        <f t="shared" si="18"/>
        <v>0</v>
      </c>
      <c r="R98" s="1135">
        <f t="shared" si="19"/>
        <v>5</v>
      </c>
    </row>
    <row r="99" spans="1:18" ht="12" customHeight="1">
      <c r="A99" s="124"/>
      <c r="B99" s="778" t="s">
        <v>588</v>
      </c>
      <c r="C99" s="762">
        <f>'Table 5B1_RSD_Orleans'!C23</f>
        <v>254</v>
      </c>
      <c r="D99" s="762">
        <f>'Table 8 Membership, 2.1.09'!R99</f>
        <v>254</v>
      </c>
      <c r="E99" s="762">
        <f>'[19]RSD Members &amp; At-Risk by Site'!$X$53</f>
        <v>347</v>
      </c>
      <c r="F99" s="418">
        <f t="shared" si="12"/>
        <v>93</v>
      </c>
      <c r="G99" s="1060">
        <f t="shared" si="13"/>
        <v>0.3661417322834646</v>
      </c>
      <c r="H99" s="762">
        <f t="shared" si="11"/>
        <v>93</v>
      </c>
      <c r="I99" s="762">
        <f t="shared" si="14"/>
        <v>0</v>
      </c>
      <c r="J99" s="1107">
        <f t="shared" si="15"/>
        <v>93</v>
      </c>
      <c r="K99" s="477">
        <f>'Table 5B1_RSD_Orleans'!D23</f>
        <v>3253.87339114165</v>
      </c>
      <c r="L99" s="1092">
        <f>'Table 5B1_RSD_Orleans'!H23+'Table 5B1_RSD_Orleans'!L23</f>
        <v>307.73891625615767</v>
      </c>
      <c r="M99" s="477">
        <f>'Table 5B1_RSD_Orleans'!Q23</f>
        <v>287.59774436090225</v>
      </c>
      <c r="N99" s="477">
        <f t="shared" si="16"/>
        <v>3849.2100517587096</v>
      </c>
      <c r="O99" s="1116">
        <f t="shared" si="17"/>
        <v>357976.53481355996</v>
      </c>
      <c r="P99" s="1135">
        <f t="shared" si="20"/>
        <v>347</v>
      </c>
      <c r="Q99" s="1135">
        <f t="shared" si="18"/>
        <v>93</v>
      </c>
      <c r="R99" s="1135">
        <f t="shared" si="19"/>
        <v>0</v>
      </c>
    </row>
    <row r="100" spans="1:18" ht="12" customHeight="1">
      <c r="A100" s="124"/>
      <c r="B100" s="778" t="s">
        <v>589</v>
      </c>
      <c r="C100" s="762">
        <f>'Table 5B1_RSD_Orleans'!C24</f>
        <v>322</v>
      </c>
      <c r="D100" s="762">
        <f>'Table 8 Membership, 2.1.09'!R100</f>
        <v>322</v>
      </c>
      <c r="E100" s="762">
        <f>'[19]RSD Members &amp; At-Risk by Site'!$X$89</f>
        <v>348</v>
      </c>
      <c r="F100" s="418">
        <f t="shared" si="12"/>
        <v>26</v>
      </c>
      <c r="G100" s="1060">
        <f t="shared" si="13"/>
        <v>0.08074534161490683</v>
      </c>
      <c r="H100" s="762">
        <f t="shared" si="11"/>
        <v>26</v>
      </c>
      <c r="I100" s="762">
        <f t="shared" si="14"/>
        <v>0</v>
      </c>
      <c r="J100" s="1107">
        <f t="shared" si="15"/>
        <v>26</v>
      </c>
      <c r="K100" s="477">
        <f>'Table 5B1_RSD_Orleans'!D24</f>
        <v>3253.87339114165</v>
      </c>
      <c r="L100" s="1092">
        <f>'Table 5B1_RSD_Orleans'!H24+'Table 5B1_RSD_Orleans'!L24</f>
        <v>329.15141955835963</v>
      </c>
      <c r="M100" s="477">
        <f>'Table 5B1_RSD_Orleans'!Q24</f>
        <v>100.21221864951768</v>
      </c>
      <c r="N100" s="477">
        <f t="shared" si="16"/>
        <v>3683.237029349527</v>
      </c>
      <c r="O100" s="1116">
        <f t="shared" si="17"/>
        <v>95764.1627630877</v>
      </c>
      <c r="P100" s="1135">
        <f t="shared" si="20"/>
        <v>348</v>
      </c>
      <c r="Q100" s="1135">
        <f t="shared" si="18"/>
        <v>26</v>
      </c>
      <c r="R100" s="1135">
        <f t="shared" si="19"/>
        <v>0</v>
      </c>
    </row>
    <row r="101" spans="1:18" ht="12" customHeight="1">
      <c r="A101" s="125"/>
      <c r="B101" s="779" t="s">
        <v>590</v>
      </c>
      <c r="C101" s="763">
        <f>'Table 5B1_RSD_Orleans'!C25</f>
        <v>431</v>
      </c>
      <c r="D101" s="763">
        <f>'Table 8 Membership, 2.1.09'!R101</f>
        <v>431</v>
      </c>
      <c r="E101" s="763">
        <f>'[19]RSD Members &amp; At-Risk by Site'!$X$91</f>
        <v>439</v>
      </c>
      <c r="F101" s="820">
        <f t="shared" si="12"/>
        <v>8</v>
      </c>
      <c r="G101" s="1061">
        <f t="shared" si="13"/>
        <v>0.018561484918793503</v>
      </c>
      <c r="H101" s="763">
        <f t="shared" si="11"/>
        <v>8</v>
      </c>
      <c r="I101" s="763">
        <f t="shared" si="14"/>
        <v>0</v>
      </c>
      <c r="J101" s="1108">
        <f t="shared" si="15"/>
        <v>8</v>
      </c>
      <c r="K101" s="1077">
        <f>'Table 5B1_RSD_Orleans'!D25</f>
        <v>3253.87339114165</v>
      </c>
      <c r="L101" s="1093">
        <f>'Table 5B1_RSD_Orleans'!H25+'Table 5B1_RSD_Orleans'!L25</f>
        <v>305.68599033816423</v>
      </c>
      <c r="M101" s="1077">
        <f>'Table 5B1_RSD_Orleans'!Q25</f>
        <v>106.74651162790698</v>
      </c>
      <c r="N101" s="1077">
        <f t="shared" si="16"/>
        <v>3666.3058931077207</v>
      </c>
      <c r="O101" s="1117">
        <f t="shared" si="17"/>
        <v>29330.447144861766</v>
      </c>
      <c r="P101" s="1136">
        <f t="shared" si="20"/>
        <v>439</v>
      </c>
      <c r="Q101" s="1136">
        <f t="shared" si="18"/>
        <v>8</v>
      </c>
      <c r="R101" s="1136">
        <f t="shared" si="19"/>
        <v>0</v>
      </c>
    </row>
    <row r="102" spans="1:18" ht="12" customHeight="1">
      <c r="A102" s="124"/>
      <c r="B102" s="778" t="s">
        <v>591</v>
      </c>
      <c r="C102" s="762">
        <f>'Table 5B1_RSD_Orleans'!C26</f>
        <v>255</v>
      </c>
      <c r="D102" s="762">
        <f>'Table 8 Membership, 2.1.09'!R102</f>
        <v>255</v>
      </c>
      <c r="E102" s="762">
        <f>'[19]RSD Members &amp; At-Risk by Site'!$X$90</f>
        <v>333</v>
      </c>
      <c r="F102" s="418">
        <f t="shared" si="12"/>
        <v>78</v>
      </c>
      <c r="G102" s="1060">
        <f t="shared" si="13"/>
        <v>0.3058823529411765</v>
      </c>
      <c r="H102" s="762">
        <f t="shared" si="11"/>
        <v>78</v>
      </c>
      <c r="I102" s="762">
        <f t="shared" si="14"/>
        <v>0</v>
      </c>
      <c r="J102" s="1107">
        <f t="shared" si="15"/>
        <v>78</v>
      </c>
      <c r="K102" s="477">
        <f>'Table 5B1_RSD_Orleans'!D26</f>
        <v>3253.87339114165</v>
      </c>
      <c r="L102" s="1092">
        <f>'Table 5B1_RSD_Orleans'!H26+'Table 5B1_RSD_Orleans'!L26</f>
        <v>234.28070175438597</v>
      </c>
      <c r="M102" s="477">
        <f>'Table 5B1_RSD_Orleans'!Q26</f>
        <v>97.30708661417323</v>
      </c>
      <c r="N102" s="477">
        <f t="shared" si="16"/>
        <v>3585.461179510209</v>
      </c>
      <c r="O102" s="1116">
        <f t="shared" si="17"/>
        <v>279665.9720017963</v>
      </c>
      <c r="P102" s="1135">
        <f t="shared" si="20"/>
        <v>333</v>
      </c>
      <c r="Q102" s="1135">
        <f t="shared" si="18"/>
        <v>78</v>
      </c>
      <c r="R102" s="1135">
        <f t="shared" si="19"/>
        <v>0</v>
      </c>
    </row>
    <row r="103" spans="1:18" ht="12" customHeight="1">
      <c r="A103" s="124"/>
      <c r="B103" s="778" t="s">
        <v>592</v>
      </c>
      <c r="C103" s="762">
        <f>'Table 5B1_RSD_Orleans'!C27</f>
        <v>174</v>
      </c>
      <c r="D103" s="762">
        <f>'Table 8 Membership, 2.1.09'!R103</f>
        <v>174</v>
      </c>
      <c r="E103" s="762">
        <f>'[19]RSD Members &amp; At-Risk by Site'!$X$92</f>
        <v>288</v>
      </c>
      <c r="F103" s="418">
        <f t="shared" si="12"/>
        <v>114</v>
      </c>
      <c r="G103" s="1060">
        <f t="shared" si="13"/>
        <v>0.6551724137931034</v>
      </c>
      <c r="H103" s="762">
        <f t="shared" si="11"/>
        <v>114</v>
      </c>
      <c r="I103" s="762">
        <f t="shared" si="14"/>
        <v>0</v>
      </c>
      <c r="J103" s="1107">
        <f t="shared" si="15"/>
        <v>114</v>
      </c>
      <c r="K103" s="477">
        <f>'Table 5B1_RSD_Orleans'!D27</f>
        <v>3253.87339114165</v>
      </c>
      <c r="L103" s="1092">
        <f>'Table 5B1_RSD_Orleans'!H27+'Table 5B1_RSD_Orleans'!L27</f>
        <v>186.55172413793105</v>
      </c>
      <c r="M103" s="477">
        <f>'Table 5B1_RSD_Orleans'!Q27</f>
        <v>93.61931818181819</v>
      </c>
      <c r="N103" s="477">
        <f t="shared" si="16"/>
        <v>3534.044433461399</v>
      </c>
      <c r="O103" s="1116">
        <f t="shared" si="17"/>
        <v>402881.0654145995</v>
      </c>
      <c r="P103" s="1135">
        <f t="shared" si="20"/>
        <v>288</v>
      </c>
      <c r="Q103" s="1135">
        <f t="shared" si="18"/>
        <v>114</v>
      </c>
      <c r="R103" s="1135">
        <f t="shared" si="19"/>
        <v>0</v>
      </c>
    </row>
    <row r="104" spans="1:18" ht="12" customHeight="1">
      <c r="A104" s="124"/>
      <c r="B104" s="778" t="s">
        <v>593</v>
      </c>
      <c r="C104" s="762">
        <f>'Table 5B1_RSD_Orleans'!C28</f>
        <v>391</v>
      </c>
      <c r="D104" s="762">
        <f>'Table 8 Membership, 2.1.09'!R104</f>
        <v>391</v>
      </c>
      <c r="E104" s="762">
        <f>'[19]RSD Members &amp; At-Risk by Site'!$X$94</f>
        <v>460</v>
      </c>
      <c r="F104" s="418">
        <f t="shared" si="12"/>
        <v>69</v>
      </c>
      <c r="G104" s="1060">
        <f t="shared" si="13"/>
        <v>0.17647058823529413</v>
      </c>
      <c r="H104" s="762">
        <f t="shared" si="11"/>
        <v>69</v>
      </c>
      <c r="I104" s="762">
        <f t="shared" si="14"/>
        <v>0</v>
      </c>
      <c r="J104" s="1107">
        <f t="shared" si="15"/>
        <v>69</v>
      </c>
      <c r="K104" s="477">
        <f>'Table 5B1_RSD_Orleans'!D28</f>
        <v>3253.87339114165</v>
      </c>
      <c r="L104" s="1092">
        <f>'Table 5B1_RSD_Orleans'!H28+'Table 5B1_RSD_Orleans'!L28</f>
        <v>305.54037267080747</v>
      </c>
      <c r="M104" s="477">
        <f>'Table 5B1_RSD_Orleans'!Q28</f>
        <v>134.9502487562189</v>
      </c>
      <c r="N104" s="477">
        <f t="shared" si="16"/>
        <v>3694.364012568676</v>
      </c>
      <c r="O104" s="1116">
        <f t="shared" si="17"/>
        <v>254911.11686723866</v>
      </c>
      <c r="P104" s="1135">
        <f t="shared" si="20"/>
        <v>460</v>
      </c>
      <c r="Q104" s="1135">
        <f t="shared" si="18"/>
        <v>69</v>
      </c>
      <c r="R104" s="1135">
        <f t="shared" si="19"/>
        <v>0</v>
      </c>
    </row>
    <row r="105" spans="1:18" ht="12" customHeight="1">
      <c r="A105" s="124"/>
      <c r="B105" s="778" t="s">
        <v>739</v>
      </c>
      <c r="C105" s="762">
        <f>'Table 5B1_RSD_Orleans'!C29</f>
        <v>153</v>
      </c>
      <c r="D105" s="762">
        <f>'Table 8 Membership, 2.1.09'!R105</f>
        <v>153</v>
      </c>
      <c r="E105" s="762">
        <f>'[19]RSD Members &amp; At-Risk by Site'!$X$95</f>
        <v>241</v>
      </c>
      <c r="F105" s="418">
        <f t="shared" si="12"/>
        <v>88</v>
      </c>
      <c r="G105" s="1060">
        <f t="shared" si="13"/>
        <v>0.5751633986928104</v>
      </c>
      <c r="H105" s="762">
        <f t="shared" si="11"/>
        <v>88</v>
      </c>
      <c r="I105" s="762">
        <f t="shared" si="14"/>
        <v>0</v>
      </c>
      <c r="J105" s="1107">
        <f t="shared" si="15"/>
        <v>88</v>
      </c>
      <c r="K105" s="477">
        <f>'Table 5B1_RSD_Orleans'!D29</f>
        <v>3253.87339114165</v>
      </c>
      <c r="L105" s="1092">
        <f>'Table 5B1_RSD_Orleans'!H29+'Table 5B1_RSD_Orleans'!L29</f>
        <v>386.3863636363636</v>
      </c>
      <c r="M105" s="477">
        <f>'Table 5B1_RSD_Orleans'!Q29</f>
        <v>105.2251655629139</v>
      </c>
      <c r="N105" s="477">
        <f t="shared" si="16"/>
        <v>3745.484920340927</v>
      </c>
      <c r="O105" s="1116">
        <f t="shared" si="17"/>
        <v>329602.67299000156</v>
      </c>
      <c r="P105" s="1135">
        <f t="shared" si="20"/>
        <v>241</v>
      </c>
      <c r="Q105" s="1135">
        <f t="shared" si="18"/>
        <v>88</v>
      </c>
      <c r="R105" s="1135">
        <f t="shared" si="19"/>
        <v>0</v>
      </c>
    </row>
    <row r="106" spans="1:18" ht="12" customHeight="1">
      <c r="A106" s="125"/>
      <c r="B106" s="779" t="s">
        <v>740</v>
      </c>
      <c r="C106" s="763">
        <f>'Table 5B1_RSD_Orleans'!C30</f>
        <v>472</v>
      </c>
      <c r="D106" s="763">
        <f>'Table 8 Membership, 2.1.09'!R106</f>
        <v>472</v>
      </c>
      <c r="E106" s="763">
        <f>'[19]RSD Members &amp; At-Risk by Site'!$X$46</f>
        <v>487</v>
      </c>
      <c r="F106" s="820">
        <f t="shared" si="12"/>
        <v>15</v>
      </c>
      <c r="G106" s="1061">
        <f t="shared" si="13"/>
        <v>0.03177966101694915</v>
      </c>
      <c r="H106" s="763">
        <f t="shared" si="11"/>
        <v>15</v>
      </c>
      <c r="I106" s="763">
        <f t="shared" si="14"/>
        <v>0</v>
      </c>
      <c r="J106" s="1108">
        <f t="shared" si="15"/>
        <v>15</v>
      </c>
      <c r="K106" s="1077">
        <f>'Table 5B1_RSD_Orleans'!D30</f>
        <v>3253.87339114165</v>
      </c>
      <c r="L106" s="1093">
        <f>'Table 5B1_RSD_Orleans'!H30+'Table 5B1_RSD_Orleans'!L30</f>
        <v>181.8430913348946</v>
      </c>
      <c r="M106" s="1077">
        <f>'Table 5B1_RSD_Orleans'!Q30</f>
        <v>100.1875</v>
      </c>
      <c r="N106" s="1077">
        <f t="shared" si="16"/>
        <v>3535.9039824765446</v>
      </c>
      <c r="O106" s="1117">
        <f t="shared" si="17"/>
        <v>53038.55973714817</v>
      </c>
      <c r="P106" s="1136">
        <f t="shared" si="20"/>
        <v>487</v>
      </c>
      <c r="Q106" s="1136">
        <f t="shared" si="18"/>
        <v>15</v>
      </c>
      <c r="R106" s="1136">
        <f t="shared" si="19"/>
        <v>0</v>
      </c>
    </row>
    <row r="107" spans="1:18" ht="12" customHeight="1">
      <c r="A107" s="124"/>
      <c r="B107" s="778" t="s">
        <v>595</v>
      </c>
      <c r="C107" s="762">
        <f>'Table 5B1_RSD_Orleans'!C31</f>
        <v>358</v>
      </c>
      <c r="D107" s="762">
        <f>'Table 8 Membership, 2.1.09'!R107</f>
        <v>358</v>
      </c>
      <c r="E107" s="762">
        <f>'[19]RSD Members &amp; At-Risk by Site'!$X$41</f>
        <v>491</v>
      </c>
      <c r="F107" s="418">
        <f t="shared" si="12"/>
        <v>133</v>
      </c>
      <c r="G107" s="1060">
        <f t="shared" si="13"/>
        <v>0.3715083798882682</v>
      </c>
      <c r="H107" s="762">
        <f t="shared" si="11"/>
        <v>133</v>
      </c>
      <c r="I107" s="762">
        <f t="shared" si="14"/>
        <v>0</v>
      </c>
      <c r="J107" s="1107">
        <f t="shared" si="15"/>
        <v>133</v>
      </c>
      <c r="K107" s="477">
        <f>'Table 5B1_RSD_Orleans'!D31</f>
        <v>3253.87339114165</v>
      </c>
      <c r="L107" s="1092">
        <f>'Table 5B1_RSD_Orleans'!H31+'Table 5B1_RSD_Orleans'!L31</f>
        <v>246.13033707865168</v>
      </c>
      <c r="M107" s="477">
        <f>'Table 5B1_RSD_Orleans'!Q31</f>
        <v>120.31623931623932</v>
      </c>
      <c r="N107" s="477">
        <f t="shared" si="16"/>
        <v>3620.319967536541</v>
      </c>
      <c r="O107" s="1116">
        <f t="shared" si="17"/>
        <v>481502.5556823599</v>
      </c>
      <c r="P107" s="1135">
        <f t="shared" si="20"/>
        <v>491</v>
      </c>
      <c r="Q107" s="1135">
        <f t="shared" si="18"/>
        <v>133</v>
      </c>
      <c r="R107" s="1135">
        <f t="shared" si="19"/>
        <v>0</v>
      </c>
    </row>
    <row r="108" spans="1:18" ht="12" customHeight="1">
      <c r="A108" s="124"/>
      <c r="B108" s="778" t="s">
        <v>596</v>
      </c>
      <c r="C108" s="762">
        <f>'Table 5B1_RSD_Orleans'!C32</f>
        <v>452</v>
      </c>
      <c r="D108" s="762">
        <f>'Table 8 Membership, 2.1.09'!R108</f>
        <v>452</v>
      </c>
      <c r="E108" s="762">
        <f>'[19]RSD Members &amp; At-Risk by Site'!$X$39</f>
        <v>488</v>
      </c>
      <c r="F108" s="418">
        <f t="shared" si="12"/>
        <v>36</v>
      </c>
      <c r="G108" s="1060">
        <f t="shared" si="13"/>
        <v>0.07964601769911504</v>
      </c>
      <c r="H108" s="762">
        <f t="shared" si="11"/>
        <v>36</v>
      </c>
      <c r="I108" s="762">
        <f t="shared" si="14"/>
        <v>0</v>
      </c>
      <c r="J108" s="1107">
        <f t="shared" si="15"/>
        <v>36</v>
      </c>
      <c r="K108" s="477">
        <f>'Table 5B1_RSD_Orleans'!D32</f>
        <v>3253.87339114165</v>
      </c>
      <c r="L108" s="1092">
        <f>'Table 5B1_RSD_Orleans'!H32+'Table 5B1_RSD_Orleans'!L32</f>
        <v>256.88034188034186</v>
      </c>
      <c r="M108" s="477">
        <f>'Table 5B1_RSD_Orleans'!Q32</f>
        <v>110.45413870246085</v>
      </c>
      <c r="N108" s="477">
        <f t="shared" si="16"/>
        <v>3621.2078717244526</v>
      </c>
      <c r="O108" s="1116">
        <f t="shared" si="17"/>
        <v>130363.48338208029</v>
      </c>
      <c r="P108" s="1135">
        <f t="shared" si="20"/>
        <v>488</v>
      </c>
      <c r="Q108" s="1135">
        <f t="shared" si="18"/>
        <v>36</v>
      </c>
      <c r="R108" s="1135">
        <f t="shared" si="19"/>
        <v>0</v>
      </c>
    </row>
    <row r="109" spans="1:18" ht="12" customHeight="1">
      <c r="A109" s="124"/>
      <c r="B109" s="778" t="s">
        <v>597</v>
      </c>
      <c r="C109" s="762">
        <f>'Table 5B1_RSD_Orleans'!C33</f>
        <v>402</v>
      </c>
      <c r="D109" s="762">
        <f>'Table 8 Membership, 2.1.09'!R109</f>
        <v>402</v>
      </c>
      <c r="E109" s="762">
        <f>'[19]RSD Members &amp; At-Risk by Site'!$X$40</f>
        <v>525</v>
      </c>
      <c r="F109" s="418">
        <f t="shared" si="12"/>
        <v>123</v>
      </c>
      <c r="G109" s="1060">
        <f t="shared" si="13"/>
        <v>0.30597014925373134</v>
      </c>
      <c r="H109" s="762">
        <f t="shared" si="11"/>
        <v>123</v>
      </c>
      <c r="I109" s="762">
        <f t="shared" si="14"/>
        <v>0</v>
      </c>
      <c r="J109" s="1107">
        <f t="shared" si="15"/>
        <v>123</v>
      </c>
      <c r="K109" s="477">
        <f>'Table 5B1_RSD_Orleans'!D33</f>
        <v>3253.87339114165</v>
      </c>
      <c r="L109" s="1092">
        <f>'Table 5B1_RSD_Orleans'!H33+'Table 5B1_RSD_Orleans'!L33</f>
        <v>296.7741935483871</v>
      </c>
      <c r="M109" s="477">
        <f>'Table 5B1_RSD_Orleans'!Q33</f>
        <v>99.07908163265306</v>
      </c>
      <c r="N109" s="477">
        <f t="shared" si="16"/>
        <v>3649.7266663226897</v>
      </c>
      <c r="O109" s="1116">
        <f t="shared" si="17"/>
        <v>448916.37995769083</v>
      </c>
      <c r="P109" s="1135">
        <f t="shared" si="20"/>
        <v>525</v>
      </c>
      <c r="Q109" s="1135">
        <f t="shared" si="18"/>
        <v>123</v>
      </c>
      <c r="R109" s="1135">
        <f t="shared" si="19"/>
        <v>0</v>
      </c>
    </row>
    <row r="110" spans="1:18" ht="12" customHeight="1">
      <c r="A110" s="124"/>
      <c r="B110" s="778" t="s">
        <v>598</v>
      </c>
      <c r="C110" s="762">
        <f>'Table 5B1_RSD_Orleans'!C34</f>
        <v>159</v>
      </c>
      <c r="D110" s="762">
        <f>'Table 8 Membership, 2.1.09'!R110</f>
        <v>159</v>
      </c>
      <c r="E110" s="762">
        <f>'[19]RSD Members &amp; At-Risk by Site'!$X$37</f>
        <v>441</v>
      </c>
      <c r="F110" s="418">
        <f t="shared" si="12"/>
        <v>282</v>
      </c>
      <c r="G110" s="1060">
        <f t="shared" si="13"/>
        <v>1.7735849056603774</v>
      </c>
      <c r="H110" s="762">
        <f t="shared" si="11"/>
        <v>282</v>
      </c>
      <c r="I110" s="762">
        <f t="shared" si="14"/>
        <v>0</v>
      </c>
      <c r="J110" s="1107">
        <f t="shared" si="15"/>
        <v>282</v>
      </c>
      <c r="K110" s="477">
        <f>'Table 5B1_RSD_Orleans'!D34</f>
        <v>3253.87339114165</v>
      </c>
      <c r="L110" s="1092">
        <f>'Table 5B1_RSD_Orleans'!H34+'Table 5B1_RSD_Orleans'!L34</f>
        <v>210.6</v>
      </c>
      <c r="M110" s="477">
        <f>'Table 5B1_RSD_Orleans'!Q34</f>
        <v>95.79651162790698</v>
      </c>
      <c r="N110" s="477">
        <f t="shared" si="16"/>
        <v>3560.2699027695567</v>
      </c>
      <c r="O110" s="1116">
        <f t="shared" si="17"/>
        <v>1003996.112581015</v>
      </c>
      <c r="P110" s="1135">
        <f t="shared" si="20"/>
        <v>441</v>
      </c>
      <c r="Q110" s="1135">
        <f t="shared" si="18"/>
        <v>282</v>
      </c>
      <c r="R110" s="1135">
        <f t="shared" si="19"/>
        <v>0</v>
      </c>
    </row>
    <row r="111" spans="1:18" ht="12" customHeight="1">
      <c r="A111" s="125"/>
      <c r="B111" s="779" t="s">
        <v>274</v>
      </c>
      <c r="C111" s="763">
        <f>'Table 5B1_RSD_Orleans'!C35</f>
        <v>364</v>
      </c>
      <c r="D111" s="763">
        <f>'Table 8 Membership, 2.1.09'!R111</f>
        <v>364</v>
      </c>
      <c r="E111" s="763">
        <f>'[19]RSD Members &amp; At-Risk by Site'!$X$38</f>
        <v>332</v>
      </c>
      <c r="F111" s="820">
        <f t="shared" si="12"/>
        <v>-32</v>
      </c>
      <c r="G111" s="1061">
        <f t="shared" si="13"/>
        <v>-0.08791208791208792</v>
      </c>
      <c r="H111" s="763">
        <f t="shared" si="11"/>
        <v>0</v>
      </c>
      <c r="I111" s="763">
        <f t="shared" si="14"/>
        <v>0</v>
      </c>
      <c r="J111" s="1108">
        <f t="shared" si="15"/>
        <v>0</v>
      </c>
      <c r="K111" s="1077">
        <f>'Table 5B1_RSD_Orleans'!D35</f>
        <v>3253.87339114165</v>
      </c>
      <c r="L111" s="1093">
        <f>'Table 5B1_RSD_Orleans'!H35+'Table 5B1_RSD_Orleans'!L35</f>
        <v>242.69781931464175</v>
      </c>
      <c r="M111" s="1077">
        <f>'Table 5B1_RSD_Orleans'!Q35</f>
        <v>87.83283582089553</v>
      </c>
      <c r="N111" s="1077">
        <f t="shared" si="16"/>
        <v>3584.4040462771873</v>
      </c>
      <c r="O111" s="1117">
        <f t="shared" si="17"/>
        <v>0</v>
      </c>
      <c r="P111" s="1136">
        <f>C111</f>
        <v>364</v>
      </c>
      <c r="Q111" s="1136">
        <f t="shared" si="18"/>
        <v>0</v>
      </c>
      <c r="R111" s="1136">
        <f t="shared" si="19"/>
        <v>32</v>
      </c>
    </row>
    <row r="112" spans="1:18" ht="12" customHeight="1">
      <c r="A112" s="124"/>
      <c r="B112" s="778" t="s">
        <v>741</v>
      </c>
      <c r="C112" s="762">
        <f>'Table 5B1_RSD_Orleans'!C36</f>
        <v>84</v>
      </c>
      <c r="D112" s="762">
        <f>'Table 8 Membership, 2.1.09'!R112</f>
        <v>84</v>
      </c>
      <c r="E112" s="762">
        <f>'[19]RSD Members &amp; At-Risk by Site'!$X$34</f>
        <v>151</v>
      </c>
      <c r="F112" s="418">
        <f t="shared" si="12"/>
        <v>67</v>
      </c>
      <c r="G112" s="1060">
        <f t="shared" si="13"/>
        <v>0.7976190476190477</v>
      </c>
      <c r="H112" s="762">
        <f t="shared" si="11"/>
        <v>67</v>
      </c>
      <c r="I112" s="762">
        <f t="shared" si="14"/>
        <v>0</v>
      </c>
      <c r="J112" s="1107">
        <f t="shared" si="15"/>
        <v>67</v>
      </c>
      <c r="K112" s="477">
        <f>'Table 5B1_RSD_Orleans'!D36</f>
        <v>3253.87339114165</v>
      </c>
      <c r="L112" s="1092">
        <f>'Table 5B1_RSD_Orleans'!H36+'Table 5B1_RSD_Orleans'!L36</f>
        <v>329.84000000000003</v>
      </c>
      <c r="M112" s="477">
        <f>'Table 5B1_RSD_Orleans'!Q36</f>
        <v>141.34939759036143</v>
      </c>
      <c r="N112" s="477">
        <f t="shared" si="16"/>
        <v>3725.0627887320115</v>
      </c>
      <c r="O112" s="1116">
        <f t="shared" si="17"/>
        <v>249579.20684504477</v>
      </c>
      <c r="P112" s="1135">
        <f t="shared" si="20"/>
        <v>151</v>
      </c>
      <c r="Q112" s="1135">
        <f t="shared" si="18"/>
        <v>67</v>
      </c>
      <c r="R112" s="1135">
        <f t="shared" si="19"/>
        <v>0</v>
      </c>
    </row>
    <row r="113" spans="1:18" ht="12" customHeight="1">
      <c r="A113" s="124"/>
      <c r="B113" s="778" t="s">
        <v>600</v>
      </c>
      <c r="C113" s="762">
        <f>'Table 5B1_RSD_Orleans'!C37</f>
        <v>62</v>
      </c>
      <c r="D113" s="762">
        <f>'Table 8 Membership, 2.1.09'!R113</f>
        <v>62</v>
      </c>
      <c r="E113" s="762">
        <f>'[19]RSD Members &amp; At-Risk by Site'!$X$31</f>
        <v>134</v>
      </c>
      <c r="F113" s="418">
        <f t="shared" si="12"/>
        <v>72</v>
      </c>
      <c r="G113" s="1060">
        <f t="shared" si="13"/>
        <v>1.1612903225806452</v>
      </c>
      <c r="H113" s="762">
        <f t="shared" si="11"/>
        <v>72</v>
      </c>
      <c r="I113" s="762">
        <f t="shared" si="14"/>
        <v>0</v>
      </c>
      <c r="J113" s="1107">
        <f t="shared" si="15"/>
        <v>72</v>
      </c>
      <c r="K113" s="477">
        <f>'Table 5B1_RSD_Orleans'!D37</f>
        <v>3253.87339114165</v>
      </c>
      <c r="L113" s="1092">
        <f>'Table 5B1_RSD_Orleans'!H37+'Table 5B1_RSD_Orleans'!L37</f>
        <v>329.84000000000003</v>
      </c>
      <c r="M113" s="477">
        <f>'Table 5B1_RSD_Orleans'!Q37</f>
        <v>284.462962962963</v>
      </c>
      <c r="N113" s="477">
        <f t="shared" si="16"/>
        <v>3868.176354104613</v>
      </c>
      <c r="O113" s="1116">
        <f t="shared" si="17"/>
        <v>278508.6974955321</v>
      </c>
      <c r="P113" s="1135">
        <f t="shared" si="20"/>
        <v>134</v>
      </c>
      <c r="Q113" s="1135">
        <f t="shared" si="18"/>
        <v>72</v>
      </c>
      <c r="R113" s="1135">
        <f t="shared" si="19"/>
        <v>0</v>
      </c>
    </row>
    <row r="114" spans="1:18" ht="12" customHeight="1">
      <c r="A114" s="124"/>
      <c r="B114" s="778" t="s">
        <v>601</v>
      </c>
      <c r="C114" s="762">
        <f>'Table 5B1_RSD_Orleans'!C38</f>
        <v>119</v>
      </c>
      <c r="D114" s="762">
        <f>'Table 8 Membership, 2.1.09'!R114</f>
        <v>119</v>
      </c>
      <c r="E114" s="762">
        <f>'[19]RSD Members &amp; At-Risk by Site'!$X$33</f>
        <v>168</v>
      </c>
      <c r="F114" s="418">
        <f t="shared" si="12"/>
        <v>49</v>
      </c>
      <c r="G114" s="1060">
        <f t="shared" si="13"/>
        <v>0.4117647058823529</v>
      </c>
      <c r="H114" s="762">
        <f t="shared" si="11"/>
        <v>49</v>
      </c>
      <c r="I114" s="762">
        <f t="shared" si="14"/>
        <v>0</v>
      </c>
      <c r="J114" s="1107">
        <f t="shared" si="15"/>
        <v>49</v>
      </c>
      <c r="K114" s="477">
        <f>'Table 5B1_RSD_Orleans'!D38</f>
        <v>3253.87339114165</v>
      </c>
      <c r="L114" s="1092">
        <f>'Table 5B1_RSD_Orleans'!H38+'Table 5B1_RSD_Orleans'!L38</f>
        <v>329.84000000000003</v>
      </c>
      <c r="M114" s="477">
        <f>'Table 5B1_RSD_Orleans'!Q38</f>
        <v>101.45689655172414</v>
      </c>
      <c r="N114" s="477">
        <f t="shared" si="16"/>
        <v>3685.170287693374</v>
      </c>
      <c r="O114" s="1116">
        <f t="shared" si="17"/>
        <v>180573.34409697534</v>
      </c>
      <c r="P114" s="1135">
        <f t="shared" si="20"/>
        <v>168</v>
      </c>
      <c r="Q114" s="1135">
        <f t="shared" si="18"/>
        <v>49</v>
      </c>
      <c r="R114" s="1135">
        <f t="shared" si="19"/>
        <v>0</v>
      </c>
    </row>
    <row r="115" spans="1:18" ht="12" customHeight="1">
      <c r="A115" s="124"/>
      <c r="B115" s="780" t="s">
        <v>602</v>
      </c>
      <c r="C115" s="761">
        <f>'Table 5B1_RSD_Orleans'!C39</f>
        <v>240</v>
      </c>
      <c r="D115" s="761">
        <f>'Table 8 Membership, 2.1.09'!R115</f>
        <v>240</v>
      </c>
      <c r="E115" s="761">
        <f>'[19]RSD Members &amp; At-Risk by Site'!$X$32</f>
        <v>296</v>
      </c>
      <c r="F115" s="1046">
        <f t="shared" si="12"/>
        <v>56</v>
      </c>
      <c r="G115" s="1062">
        <f t="shared" si="13"/>
        <v>0.23333333333333334</v>
      </c>
      <c r="H115" s="761">
        <f t="shared" si="11"/>
        <v>56</v>
      </c>
      <c r="I115" s="761">
        <f t="shared" si="14"/>
        <v>0</v>
      </c>
      <c r="J115" s="1107">
        <f t="shared" si="15"/>
        <v>56</v>
      </c>
      <c r="K115" s="1076">
        <f>'Table 5B1_RSD_Orleans'!D39</f>
        <v>3253.87339114165</v>
      </c>
      <c r="L115" s="1091">
        <f>'Table 5B1_RSD_Orleans'!H39+'Table 5B1_RSD_Orleans'!L39</f>
        <v>329.84000000000003</v>
      </c>
      <c r="M115" s="1076">
        <f>'Table 5B1_RSD_Orleans'!Q39</f>
        <v>102.57798165137615</v>
      </c>
      <c r="N115" s="1076">
        <f t="shared" si="16"/>
        <v>3686.2913727930263</v>
      </c>
      <c r="O115" s="1116">
        <f t="shared" si="17"/>
        <v>206432.31687640946</v>
      </c>
      <c r="P115" s="1135">
        <f t="shared" si="20"/>
        <v>296</v>
      </c>
      <c r="Q115" s="1135">
        <f t="shared" si="18"/>
        <v>56</v>
      </c>
      <c r="R115" s="1135">
        <f t="shared" si="19"/>
        <v>0</v>
      </c>
    </row>
    <row r="116" spans="1:18" ht="12" customHeight="1">
      <c r="A116" s="764"/>
      <c r="B116" s="779" t="s">
        <v>742</v>
      </c>
      <c r="C116" s="763">
        <f>'Table 5B1_RSD_Orleans'!C40</f>
        <v>94</v>
      </c>
      <c r="D116" s="763">
        <f>'Table 8 Membership, 2.1.09'!R116</f>
        <v>94</v>
      </c>
      <c r="E116" s="763">
        <f>'[19]RSD Members &amp; At-Risk by Site'!$X$93</f>
        <v>195</v>
      </c>
      <c r="F116" s="820">
        <f t="shared" si="12"/>
        <v>101</v>
      </c>
      <c r="G116" s="1061">
        <f t="shared" si="13"/>
        <v>1.074468085106383</v>
      </c>
      <c r="H116" s="763">
        <f t="shared" si="11"/>
        <v>101</v>
      </c>
      <c r="I116" s="763">
        <f t="shared" si="14"/>
        <v>0</v>
      </c>
      <c r="J116" s="1108">
        <f t="shared" si="15"/>
        <v>101</v>
      </c>
      <c r="K116" s="1077">
        <f>'Table 5B1_RSD_Orleans'!D40</f>
        <v>3253.87339114165</v>
      </c>
      <c r="L116" s="1093">
        <f>'Table 5B1_RSD_Orleans'!H40+'Table 5B1_RSD_Orleans'!L40</f>
        <v>329.84000000000003</v>
      </c>
      <c r="M116" s="1077">
        <f>'Table 5B1_RSD_Orleans'!Q40</f>
        <v>99.11578947368422</v>
      </c>
      <c r="N116" s="1077">
        <f t="shared" si="16"/>
        <v>3682.8291806153343</v>
      </c>
      <c r="O116" s="1117">
        <f t="shared" si="17"/>
        <v>371965.7472421488</v>
      </c>
      <c r="P116" s="1136">
        <f t="shared" si="20"/>
        <v>195</v>
      </c>
      <c r="Q116" s="1136">
        <f t="shared" si="18"/>
        <v>101</v>
      </c>
      <c r="R116" s="1136">
        <f t="shared" si="19"/>
        <v>0</v>
      </c>
    </row>
    <row r="117" spans="1:18" ht="12" customHeight="1">
      <c r="A117" s="124"/>
      <c r="B117" s="778" t="s">
        <v>743</v>
      </c>
      <c r="C117" s="762">
        <f>'Table 5B1_RSD_Orleans'!C41</f>
        <v>186</v>
      </c>
      <c r="D117" s="762">
        <f>'Table 8 Membership, 2.1.09'!R117</f>
        <v>186</v>
      </c>
      <c r="E117" s="762">
        <f>'[19]RSD Members &amp; At-Risk by Site'!$X$36</f>
        <v>388</v>
      </c>
      <c r="F117" s="418">
        <f t="shared" si="12"/>
        <v>202</v>
      </c>
      <c r="G117" s="1060">
        <f t="shared" si="13"/>
        <v>1.086021505376344</v>
      </c>
      <c r="H117" s="762">
        <f t="shared" si="11"/>
        <v>202</v>
      </c>
      <c r="I117" s="762">
        <f t="shared" si="14"/>
        <v>0</v>
      </c>
      <c r="J117" s="1107">
        <f t="shared" si="15"/>
        <v>202</v>
      </c>
      <c r="K117" s="477">
        <f>'Table 5B1_RSD_Orleans'!D41</f>
        <v>3253.87339114165</v>
      </c>
      <c r="L117" s="1092">
        <f>'Table 5B1_RSD_Orleans'!H41+'Table 5B1_RSD_Orleans'!L41</f>
        <v>329.84000000000003</v>
      </c>
      <c r="M117" s="477">
        <f>'Table 5B1_RSD_Orleans'!Q41</f>
        <v>93.62244897959184</v>
      </c>
      <c r="N117" s="477">
        <f t="shared" si="16"/>
        <v>3677.3358401212417</v>
      </c>
      <c r="O117" s="1116">
        <f t="shared" si="17"/>
        <v>742821.8397044908</v>
      </c>
      <c r="P117" s="1135">
        <f t="shared" si="20"/>
        <v>388</v>
      </c>
      <c r="Q117" s="1135">
        <f t="shared" si="18"/>
        <v>202</v>
      </c>
      <c r="R117" s="1135">
        <f t="shared" si="19"/>
        <v>0</v>
      </c>
    </row>
    <row r="118" spans="1:18" ht="12" customHeight="1">
      <c r="A118" s="124"/>
      <c r="B118" s="778" t="s">
        <v>605</v>
      </c>
      <c r="C118" s="762">
        <f>'Table 5B1_RSD_Orleans'!C42</f>
        <v>103</v>
      </c>
      <c r="D118" s="762">
        <f>'Table 8 Membership, 2.1.09'!R118</f>
        <v>103</v>
      </c>
      <c r="E118" s="762">
        <f>'[19]RSD Members &amp; At-Risk by Site'!$X$35</f>
        <v>183</v>
      </c>
      <c r="F118" s="418">
        <f t="shared" si="12"/>
        <v>80</v>
      </c>
      <c r="G118" s="1060">
        <f t="shared" si="13"/>
        <v>0.7766990291262136</v>
      </c>
      <c r="H118" s="762">
        <f t="shared" si="11"/>
        <v>80</v>
      </c>
      <c r="I118" s="762">
        <f t="shared" si="14"/>
        <v>0</v>
      </c>
      <c r="J118" s="1107">
        <f t="shared" si="15"/>
        <v>80</v>
      </c>
      <c r="K118" s="477">
        <f>'Table 5B1_RSD_Orleans'!D42</f>
        <v>3253.87339114165</v>
      </c>
      <c r="L118" s="1092">
        <f>'Table 5B1_RSD_Orleans'!H42+'Table 5B1_RSD_Orleans'!L42</f>
        <v>329.84000000000003</v>
      </c>
      <c r="M118" s="477">
        <f>'Table 5B1_RSD_Orleans'!Q42</f>
        <v>119.87037037037037</v>
      </c>
      <c r="N118" s="477">
        <f t="shared" si="16"/>
        <v>3703.5837615120204</v>
      </c>
      <c r="O118" s="1116">
        <f t="shared" si="17"/>
        <v>296286.7009209616</v>
      </c>
      <c r="P118" s="1135">
        <f t="shared" si="20"/>
        <v>183</v>
      </c>
      <c r="Q118" s="1135">
        <f t="shared" si="18"/>
        <v>80</v>
      </c>
      <c r="R118" s="1135">
        <f t="shared" si="19"/>
        <v>0</v>
      </c>
    </row>
    <row r="119" spans="1:18" ht="12" customHeight="1">
      <c r="A119" s="799"/>
      <c r="B119" s="800" t="s">
        <v>744</v>
      </c>
      <c r="C119" s="802">
        <f>'Table 5B1_RSD_Orleans'!C43</f>
        <v>80</v>
      </c>
      <c r="D119" s="802">
        <v>0</v>
      </c>
      <c r="E119" s="802">
        <f>'[19]RSD Members &amp; At-Risk by Site'!$X$30</f>
        <v>92</v>
      </c>
      <c r="F119" s="1045">
        <f t="shared" si="12"/>
        <v>92</v>
      </c>
      <c r="G119" s="1059">
        <f t="shared" si="13"/>
        <v>1</v>
      </c>
      <c r="H119" s="802">
        <f t="shared" si="11"/>
        <v>92</v>
      </c>
      <c r="I119" s="802">
        <f t="shared" si="14"/>
        <v>80</v>
      </c>
      <c r="J119" s="1045">
        <f t="shared" si="15"/>
        <v>12</v>
      </c>
      <c r="K119" s="1085">
        <f>'Table 5B1_RSD_Orleans'!D43</f>
        <v>3253.87339114165</v>
      </c>
      <c r="L119" s="1100">
        <f>'Table 5B1_RSD_Orleans'!H43+'Table 5B1_RSD_Orleans'!L43</f>
        <v>329.84000000000003</v>
      </c>
      <c r="M119" s="1085">
        <f>'Table 5B1_RSD_Orleans'!Q43</f>
        <v>103.83356164383562</v>
      </c>
      <c r="N119" s="1085">
        <f t="shared" si="16"/>
        <v>3687.5469527854857</v>
      </c>
      <c r="O119" s="1085">
        <f t="shared" si="17"/>
        <v>44250.56343342583</v>
      </c>
      <c r="P119" s="1135">
        <f t="shared" si="20"/>
        <v>92</v>
      </c>
      <c r="Q119" s="1135">
        <f t="shared" si="18"/>
        <v>12</v>
      </c>
      <c r="R119" s="1135">
        <f t="shared" si="19"/>
        <v>0</v>
      </c>
    </row>
    <row r="120" spans="1:18" ht="12" customHeight="1">
      <c r="A120" s="803"/>
      <c r="B120" s="804" t="s">
        <v>745</v>
      </c>
      <c r="C120" s="806">
        <f>'Table 5B1_RSD_Orleans'!C44</f>
        <v>96</v>
      </c>
      <c r="D120" s="806">
        <v>0</v>
      </c>
      <c r="E120" s="806">
        <f>'[19]RSD Members &amp; At-Risk by Site'!$X$27</f>
        <v>158</v>
      </c>
      <c r="F120" s="1047">
        <f t="shared" si="12"/>
        <v>158</v>
      </c>
      <c r="G120" s="1063">
        <f t="shared" si="13"/>
        <v>1</v>
      </c>
      <c r="H120" s="806">
        <f t="shared" si="11"/>
        <v>158</v>
      </c>
      <c r="I120" s="806">
        <f t="shared" si="14"/>
        <v>96</v>
      </c>
      <c r="J120" s="1047">
        <f t="shared" si="15"/>
        <v>62</v>
      </c>
      <c r="K120" s="1086">
        <f>'Table 5B1_RSD_Orleans'!D44</f>
        <v>3253.87339114165</v>
      </c>
      <c r="L120" s="1101">
        <f>'Table 5B1_RSD_Orleans'!H44+'Table 5B1_RSD_Orleans'!L44</f>
        <v>329.84000000000003</v>
      </c>
      <c r="M120" s="1086">
        <f>'Table 5B1_RSD_Orleans'!Q44</f>
        <v>103.83356164383562</v>
      </c>
      <c r="N120" s="1086">
        <f t="shared" si="16"/>
        <v>3687.5469527854857</v>
      </c>
      <c r="O120" s="1086">
        <f t="shared" si="17"/>
        <v>228627.9110727001</v>
      </c>
      <c r="P120" s="1136">
        <f t="shared" si="20"/>
        <v>158</v>
      </c>
      <c r="Q120" s="1136">
        <f t="shared" si="18"/>
        <v>62</v>
      </c>
      <c r="R120" s="1136">
        <f t="shared" si="19"/>
        <v>0</v>
      </c>
    </row>
    <row r="121" spans="1:18" ht="12" customHeight="1">
      <c r="A121" s="799"/>
      <c r="B121" s="800" t="s">
        <v>746</v>
      </c>
      <c r="C121" s="802">
        <f>'Table 5B1_RSD_Orleans'!C45</f>
        <v>211</v>
      </c>
      <c r="D121" s="802">
        <v>0</v>
      </c>
      <c r="E121" s="802">
        <f>'[19]RSD Members &amp; At-Risk by Site'!$X$28</f>
        <v>238</v>
      </c>
      <c r="F121" s="1045">
        <f t="shared" si="12"/>
        <v>238</v>
      </c>
      <c r="G121" s="1059">
        <f t="shared" si="13"/>
        <v>1</v>
      </c>
      <c r="H121" s="802">
        <f t="shared" si="11"/>
        <v>238</v>
      </c>
      <c r="I121" s="802">
        <f t="shared" si="14"/>
        <v>211</v>
      </c>
      <c r="J121" s="1045">
        <f t="shared" si="15"/>
        <v>27</v>
      </c>
      <c r="K121" s="1085">
        <f>'Table 5B1_RSD_Orleans'!D45</f>
        <v>3253.87339114165</v>
      </c>
      <c r="L121" s="1100">
        <f>'Table 5B1_RSD_Orleans'!H45+'Table 5B1_RSD_Orleans'!L45</f>
        <v>329.84000000000003</v>
      </c>
      <c r="M121" s="1085">
        <f>'Table 5B1_RSD_Orleans'!Q45</f>
        <v>103.83356164383562</v>
      </c>
      <c r="N121" s="1085">
        <f t="shared" si="16"/>
        <v>3687.5469527854857</v>
      </c>
      <c r="O121" s="1085">
        <f t="shared" si="17"/>
        <v>99563.76772520812</v>
      </c>
      <c r="P121" s="1135">
        <f t="shared" si="20"/>
        <v>238</v>
      </c>
      <c r="Q121" s="1135">
        <f t="shared" si="18"/>
        <v>27</v>
      </c>
      <c r="R121" s="1135">
        <f t="shared" si="19"/>
        <v>0</v>
      </c>
    </row>
    <row r="122" spans="1:18" ht="12" customHeight="1">
      <c r="A122" s="799"/>
      <c r="B122" s="800" t="s">
        <v>747</v>
      </c>
      <c r="C122" s="802">
        <f>'Table 5B1_RSD_Orleans'!C46</f>
        <v>100</v>
      </c>
      <c r="D122" s="802">
        <v>0</v>
      </c>
      <c r="E122" s="802">
        <f>'[19]RSD Members &amp; At-Risk by Site'!$X$29</f>
        <v>120</v>
      </c>
      <c r="F122" s="1045">
        <f t="shared" si="12"/>
        <v>120</v>
      </c>
      <c r="G122" s="1059">
        <f t="shared" si="13"/>
        <v>1</v>
      </c>
      <c r="H122" s="802">
        <f t="shared" si="11"/>
        <v>120</v>
      </c>
      <c r="I122" s="802">
        <f t="shared" si="14"/>
        <v>100</v>
      </c>
      <c r="J122" s="1045">
        <f t="shared" si="15"/>
        <v>20</v>
      </c>
      <c r="K122" s="1085">
        <f>'Table 5B1_RSD_Orleans'!D46</f>
        <v>3253.87339114165</v>
      </c>
      <c r="L122" s="1100">
        <f>'Table 5B1_RSD_Orleans'!H46+'Table 5B1_RSD_Orleans'!L46</f>
        <v>329.84000000000003</v>
      </c>
      <c r="M122" s="1085">
        <f>'Table 5B1_RSD_Orleans'!Q46</f>
        <v>103.83356164383562</v>
      </c>
      <c r="N122" s="1085">
        <f t="shared" si="16"/>
        <v>3687.5469527854857</v>
      </c>
      <c r="O122" s="1085">
        <f t="shared" si="17"/>
        <v>73750.93905570972</v>
      </c>
      <c r="P122" s="1135">
        <f t="shared" si="20"/>
        <v>120</v>
      </c>
      <c r="Q122" s="1135">
        <f t="shared" si="18"/>
        <v>20</v>
      </c>
      <c r="R122" s="1135">
        <f t="shared" si="19"/>
        <v>0</v>
      </c>
    </row>
    <row r="123" spans="1:18" ht="12" customHeight="1">
      <c r="A123" s="799"/>
      <c r="B123" s="800" t="s">
        <v>748</v>
      </c>
      <c r="C123" s="802">
        <f>'Table 5B1_RSD_Orleans'!C47</f>
        <v>252</v>
      </c>
      <c r="D123" s="802">
        <v>0</v>
      </c>
      <c r="E123" s="802">
        <f>'[19]RSD Members &amp; At-Risk by Site'!$X$26</f>
        <v>377</v>
      </c>
      <c r="F123" s="1045">
        <f t="shared" si="12"/>
        <v>377</v>
      </c>
      <c r="G123" s="1059">
        <f t="shared" si="13"/>
        <v>1</v>
      </c>
      <c r="H123" s="802">
        <f t="shared" si="11"/>
        <v>377</v>
      </c>
      <c r="I123" s="802">
        <f t="shared" si="14"/>
        <v>252</v>
      </c>
      <c r="J123" s="1045">
        <f t="shared" si="15"/>
        <v>125</v>
      </c>
      <c r="K123" s="1085">
        <f>'Table 5B1_RSD_Orleans'!D47</f>
        <v>3253.87339114165</v>
      </c>
      <c r="L123" s="1100">
        <f>'Table 5B1_RSD_Orleans'!H47+'Table 5B1_RSD_Orleans'!L47</f>
        <v>316.51492537313436</v>
      </c>
      <c r="M123" s="1085">
        <f>'Table 5B1_RSD_Orleans'!Q47</f>
        <v>138.846921797005</v>
      </c>
      <c r="N123" s="1085">
        <f t="shared" si="16"/>
        <v>3709.235238311789</v>
      </c>
      <c r="O123" s="1085">
        <f t="shared" si="17"/>
        <v>463654.4047889736</v>
      </c>
      <c r="P123" s="1135">
        <f t="shared" si="20"/>
        <v>377</v>
      </c>
      <c r="Q123" s="1135">
        <f t="shared" si="18"/>
        <v>125</v>
      </c>
      <c r="R123" s="1135">
        <f t="shared" si="19"/>
        <v>0</v>
      </c>
    </row>
    <row r="124" spans="1:18" ht="12" customHeight="1">
      <c r="A124" s="1175"/>
      <c r="B124" s="1176" t="s">
        <v>829</v>
      </c>
      <c r="C124" s="1177">
        <v>195</v>
      </c>
      <c r="D124" s="1177">
        <v>195</v>
      </c>
      <c r="E124" s="1177">
        <v>0</v>
      </c>
      <c r="F124" s="1178">
        <f>E124-D124</f>
        <v>-195</v>
      </c>
      <c r="G124" s="1179">
        <f>IF(D124=0,1,(F124)/D124)</f>
        <v>-1</v>
      </c>
      <c r="H124" s="1177">
        <f>IF(OR(G124&gt;0.99%=TRUE,F124&gt;49=TRUE),E124-D124,0)</f>
        <v>0</v>
      </c>
      <c r="I124" s="1177">
        <f>C124-D124</f>
        <v>0</v>
      </c>
      <c r="J124" s="1178">
        <f>F124</f>
        <v>-195</v>
      </c>
      <c r="K124" s="1180">
        <f>K123</f>
        <v>3253.87339114165</v>
      </c>
      <c r="L124" s="1181"/>
      <c r="M124" s="1180"/>
      <c r="N124" s="1180"/>
      <c r="O124" s="1180">
        <f>-'Table 5B1_RSD_Orleans'!S54</f>
        <v>-703946.310892173</v>
      </c>
      <c r="P124" s="1178">
        <f>E124</f>
        <v>0</v>
      </c>
      <c r="Q124" s="1178">
        <f>P124-C124</f>
        <v>-195</v>
      </c>
      <c r="R124" s="1178">
        <f>P124-E124</f>
        <v>0</v>
      </c>
    </row>
    <row r="125" spans="1:18" ht="12.75">
      <c r="A125" s="767"/>
      <c r="B125" s="768" t="s">
        <v>606</v>
      </c>
      <c r="C125" s="16">
        <f>SUM(C85:C124)</f>
        <v>23866</v>
      </c>
      <c r="D125" s="16">
        <f>SUM(D85:D124)</f>
        <v>23104</v>
      </c>
      <c r="E125" s="16">
        <f>SUM(E85:E124)</f>
        <v>25427</v>
      </c>
      <c r="F125" s="16">
        <f>SUM(F85:F124)</f>
        <v>2323</v>
      </c>
      <c r="G125" s="1064">
        <f>IF(D125=0,1,(F125)/D125)</f>
        <v>0.10054536011080333</v>
      </c>
      <c r="H125" s="16">
        <f>SUM(H85:H124)</f>
        <v>3107</v>
      </c>
      <c r="I125" s="16">
        <f>SUM(I85:I124)</f>
        <v>762</v>
      </c>
      <c r="J125" s="1113">
        <f>SUM(J85:J124)</f>
        <v>2150</v>
      </c>
      <c r="K125" s="525"/>
      <c r="L125" s="870"/>
      <c r="M125" s="525"/>
      <c r="N125" s="525"/>
      <c r="O125" s="1121">
        <f>SUM(O85:O124)</f>
        <v>7905438.768489835</v>
      </c>
      <c r="P125" s="1134">
        <f>SUM(P85:P124)</f>
        <v>26016</v>
      </c>
      <c r="Q125" s="1134">
        <f>SUM(Q85:Q124)</f>
        <v>2150</v>
      </c>
      <c r="R125" s="1134">
        <f>SUM(R85:R124)</f>
        <v>589</v>
      </c>
    </row>
    <row r="126" spans="1:18" ht="6.75" customHeight="1">
      <c r="A126" s="770"/>
      <c r="B126" s="771"/>
      <c r="C126" s="772"/>
      <c r="D126" s="772"/>
      <c r="E126" s="772"/>
      <c r="F126" s="1042"/>
      <c r="G126" s="1056"/>
      <c r="H126" s="772"/>
      <c r="I126" s="772"/>
      <c r="J126" s="1042"/>
      <c r="K126" s="1082"/>
      <c r="L126" s="1098"/>
      <c r="M126" s="1082"/>
      <c r="N126" s="1082"/>
      <c r="O126" s="1082"/>
      <c r="P126" s="1140"/>
      <c r="Q126" s="1140"/>
      <c r="R126" s="1140"/>
    </row>
    <row r="127" spans="1:18" ht="12" customHeight="1">
      <c r="A127" s="124"/>
      <c r="B127" s="778" t="s">
        <v>749</v>
      </c>
      <c r="C127" s="762">
        <f>'Table 5B2_RSD_LA'!C9</f>
        <v>425</v>
      </c>
      <c r="D127" s="762">
        <f>'Table 8 Membership, 2.1.09'!R127</f>
        <v>425</v>
      </c>
      <c r="E127" s="762">
        <f>'[19]RSD Members &amp; At-Risk by Site'!$X$14</f>
        <v>308</v>
      </c>
      <c r="F127" s="418">
        <f aca="true" t="shared" si="21" ref="F127:F134">E127-D127</f>
        <v>-117</v>
      </c>
      <c r="G127" s="1060">
        <f aca="true" t="shared" si="22" ref="G127:G143">IF(D127=0,1,(F127)/D127)</f>
        <v>-0.2752941176470588</v>
      </c>
      <c r="H127" s="762">
        <f t="shared" si="11"/>
        <v>0</v>
      </c>
      <c r="I127" s="762">
        <f aca="true" t="shared" si="23" ref="I127:I134">C127-D127</f>
        <v>0</v>
      </c>
      <c r="J127" s="1107">
        <f aca="true" t="shared" si="24" ref="J127:J134">H127-I127</f>
        <v>0</v>
      </c>
      <c r="K127" s="477">
        <f>'Table 5B2_RSD_LA'!D9</f>
        <v>3632.310699762789</v>
      </c>
      <c r="L127" s="1092">
        <f>'Table 5B2_RSD_LA'!F9+'Table 5B2_RSD_LA'!H9</f>
        <v>309.24</v>
      </c>
      <c r="M127" s="477">
        <f>'Table 5B2_RSD_LA'!M9</f>
        <v>103.0731182795699</v>
      </c>
      <c r="N127" s="477">
        <f aca="true" t="shared" si="25" ref="N127:N134">K127+L127+M127</f>
        <v>4044.623818042359</v>
      </c>
      <c r="O127" s="1116">
        <f aca="true" t="shared" si="26" ref="O127:O134">J127*N127</f>
        <v>0</v>
      </c>
      <c r="P127" s="1135">
        <f>C127</f>
        <v>425</v>
      </c>
      <c r="Q127" s="1135">
        <f aca="true" t="shared" si="27" ref="Q127:Q135">P127-C127</f>
        <v>0</v>
      </c>
      <c r="R127" s="1135">
        <f aca="true" t="shared" si="28" ref="R127:R135">P127-E127</f>
        <v>117</v>
      </c>
    </row>
    <row r="128" spans="1:18" ht="12" customHeight="1">
      <c r="A128" s="124"/>
      <c r="B128" s="778" t="s">
        <v>750</v>
      </c>
      <c r="C128" s="762">
        <f>'Table 5B2_RSD_LA'!C10</f>
        <v>421</v>
      </c>
      <c r="D128" s="762">
        <f>'Table 8 Membership, 2.1.09'!R128</f>
        <v>421</v>
      </c>
      <c r="E128" s="762">
        <f>'[19]RSD Members &amp; At-Risk by Site'!$X$15</f>
        <v>279</v>
      </c>
      <c r="F128" s="418">
        <f t="shared" si="21"/>
        <v>-142</v>
      </c>
      <c r="G128" s="1060">
        <f t="shared" si="22"/>
        <v>-0.33729216152019004</v>
      </c>
      <c r="H128" s="762">
        <f t="shared" si="11"/>
        <v>0</v>
      </c>
      <c r="I128" s="762">
        <f t="shared" si="23"/>
        <v>0</v>
      </c>
      <c r="J128" s="1107">
        <f t="shared" si="24"/>
        <v>0</v>
      </c>
      <c r="K128" s="477">
        <f>'Table 5B2_RSD_LA'!D10</f>
        <v>3632.310699762789</v>
      </c>
      <c r="L128" s="1092">
        <f>'Table 5B2_RSD_LA'!F10+'Table 5B2_RSD_LA'!H10</f>
        <v>309.24</v>
      </c>
      <c r="M128" s="477">
        <f>'Table 5B2_RSD_LA'!M10</f>
        <v>114.07013574660634</v>
      </c>
      <c r="N128" s="477">
        <f t="shared" si="25"/>
        <v>4055.6208355093954</v>
      </c>
      <c r="O128" s="1116">
        <f t="shared" si="26"/>
        <v>0</v>
      </c>
      <c r="P128" s="1135">
        <f>C128</f>
        <v>421</v>
      </c>
      <c r="Q128" s="1135">
        <f t="shared" si="27"/>
        <v>0</v>
      </c>
      <c r="R128" s="1135">
        <f t="shared" si="28"/>
        <v>142</v>
      </c>
    </row>
    <row r="129" spans="1:18" ht="12" customHeight="1">
      <c r="A129" s="124"/>
      <c r="B129" s="778" t="s">
        <v>751</v>
      </c>
      <c r="C129" s="762">
        <f>'Table 5B2_RSD_LA'!C11</f>
        <v>198</v>
      </c>
      <c r="D129" s="762">
        <f>'Table 8 Membership, 2.1.09'!R129</f>
        <v>198</v>
      </c>
      <c r="E129" s="762">
        <f>'[19]RSD Members &amp; At-Risk by Site'!$X$18</f>
        <v>213</v>
      </c>
      <c r="F129" s="418">
        <f t="shared" si="21"/>
        <v>15</v>
      </c>
      <c r="G129" s="1060">
        <f t="shared" si="22"/>
        <v>0.07575757575757576</v>
      </c>
      <c r="H129" s="762">
        <f t="shared" si="11"/>
        <v>15</v>
      </c>
      <c r="I129" s="762">
        <f t="shared" si="23"/>
        <v>0</v>
      </c>
      <c r="J129" s="1107">
        <f t="shared" si="24"/>
        <v>15</v>
      </c>
      <c r="K129" s="477">
        <f>'Table 5B2_RSD_LA'!D11</f>
        <v>3632.310699762789</v>
      </c>
      <c r="L129" s="1092">
        <f>'Table 5B2_RSD_LA'!F11+'Table 5B2_RSD_LA'!H11</f>
        <v>309.24</v>
      </c>
      <c r="M129" s="477">
        <f>'Table 5B2_RSD_LA'!M11</f>
        <v>77.5989010989011</v>
      </c>
      <c r="N129" s="477">
        <f t="shared" si="25"/>
        <v>4019.14960086169</v>
      </c>
      <c r="O129" s="1116">
        <f t="shared" si="26"/>
        <v>60287.24401292535</v>
      </c>
      <c r="P129" s="1135">
        <f>E129</f>
        <v>213</v>
      </c>
      <c r="Q129" s="1135">
        <f t="shared" si="27"/>
        <v>15</v>
      </c>
      <c r="R129" s="1135">
        <f t="shared" si="28"/>
        <v>0</v>
      </c>
    </row>
    <row r="130" spans="1:18" ht="12" customHeight="1">
      <c r="A130" s="124"/>
      <c r="B130" s="780" t="s">
        <v>752</v>
      </c>
      <c r="C130" s="761">
        <f>'Table 5B2_RSD_LA'!C12</f>
        <v>191</v>
      </c>
      <c r="D130" s="761">
        <f>'Table 8 Membership, 2.1.09'!R130</f>
        <v>191</v>
      </c>
      <c r="E130" s="761">
        <f>'[19]RSD Members &amp; At-Risk by Site'!$X$19</f>
        <v>184</v>
      </c>
      <c r="F130" s="1046">
        <f t="shared" si="21"/>
        <v>-7</v>
      </c>
      <c r="G130" s="1062">
        <f t="shared" si="22"/>
        <v>-0.03664921465968586</v>
      </c>
      <c r="H130" s="761">
        <f t="shared" si="11"/>
        <v>0</v>
      </c>
      <c r="I130" s="761">
        <f t="shared" si="23"/>
        <v>0</v>
      </c>
      <c r="J130" s="1107">
        <f t="shared" si="24"/>
        <v>0</v>
      </c>
      <c r="K130" s="1076">
        <f>'Table 5B2_RSD_LA'!D12</f>
        <v>3632.310699762789</v>
      </c>
      <c r="L130" s="1091">
        <f>'Table 5B2_RSD_LA'!F12+'Table 5B2_RSD_LA'!H12</f>
        <v>309.24</v>
      </c>
      <c r="M130" s="1076">
        <f>'Table 5B2_RSD_LA'!M12</f>
        <v>78.8298969072165</v>
      </c>
      <c r="N130" s="1076">
        <f t="shared" si="25"/>
        <v>4020.3805966700056</v>
      </c>
      <c r="O130" s="1116">
        <f t="shared" si="26"/>
        <v>0</v>
      </c>
      <c r="P130" s="1135">
        <f>C130</f>
        <v>191</v>
      </c>
      <c r="Q130" s="1135">
        <f t="shared" si="27"/>
        <v>0</v>
      </c>
      <c r="R130" s="1135">
        <f t="shared" si="28"/>
        <v>7</v>
      </c>
    </row>
    <row r="131" spans="1:18" ht="12" customHeight="1">
      <c r="A131" s="803"/>
      <c r="B131" s="804" t="s">
        <v>753</v>
      </c>
      <c r="C131" s="806">
        <f>'Table 5B2_RSD_LA'!C13</f>
        <v>364</v>
      </c>
      <c r="D131" s="806">
        <v>0</v>
      </c>
      <c r="E131" s="806">
        <f>'[19]RSD Members &amp; At-Risk by Site'!$X$16</f>
        <v>345</v>
      </c>
      <c r="F131" s="1047">
        <f t="shared" si="21"/>
        <v>345</v>
      </c>
      <c r="G131" s="1063">
        <f t="shared" si="22"/>
        <v>1</v>
      </c>
      <c r="H131" s="806">
        <f t="shared" si="11"/>
        <v>345</v>
      </c>
      <c r="I131" s="806">
        <f t="shared" si="23"/>
        <v>364</v>
      </c>
      <c r="J131" s="1108">
        <f t="shared" si="24"/>
        <v>-19</v>
      </c>
      <c r="K131" s="1086">
        <f>'Table 5B2_RSD_LA'!D13</f>
        <v>3632.310699762789</v>
      </c>
      <c r="L131" s="1101">
        <f>'Table 5B2_RSD_LA'!F13+'Table 5B2_RSD_LA'!H13</f>
        <v>309.24</v>
      </c>
      <c r="M131" s="1086">
        <f>'Table 5B2_RSD_LA'!M13</f>
        <v>112.70873942625965</v>
      </c>
      <c r="N131" s="1086">
        <f t="shared" si="25"/>
        <v>4054.259439189049</v>
      </c>
      <c r="O131" s="1117">
        <f t="shared" si="26"/>
        <v>-77030.92934459193</v>
      </c>
      <c r="P131" s="1136">
        <f>E131</f>
        <v>345</v>
      </c>
      <c r="Q131" s="1136">
        <f t="shared" si="27"/>
        <v>-19</v>
      </c>
      <c r="R131" s="1136">
        <f t="shared" si="28"/>
        <v>0</v>
      </c>
    </row>
    <row r="132" spans="1:18" ht="12" customHeight="1">
      <c r="A132" s="799"/>
      <c r="B132" s="800" t="s">
        <v>754</v>
      </c>
      <c r="C132" s="802">
        <f>'Table 5B2_RSD_LA'!C14</f>
        <v>284</v>
      </c>
      <c r="D132" s="802">
        <v>0</v>
      </c>
      <c r="E132" s="802">
        <f>'[19]RSD Members &amp; At-Risk by Site'!$X$17</f>
        <v>275</v>
      </c>
      <c r="F132" s="1045">
        <f t="shared" si="21"/>
        <v>275</v>
      </c>
      <c r="G132" s="1059">
        <f t="shared" si="22"/>
        <v>1</v>
      </c>
      <c r="H132" s="802">
        <f t="shared" si="11"/>
        <v>275</v>
      </c>
      <c r="I132" s="802">
        <f t="shared" si="23"/>
        <v>284</v>
      </c>
      <c r="J132" s="1045">
        <f t="shared" si="24"/>
        <v>-9</v>
      </c>
      <c r="K132" s="1085">
        <f>'Table 5B2_RSD_LA'!D14</f>
        <v>3632.310699762789</v>
      </c>
      <c r="L132" s="1100">
        <f>'Table 5B2_RSD_LA'!F14+'Table 5B2_RSD_LA'!H14</f>
        <v>309.24</v>
      </c>
      <c r="M132" s="1085">
        <f>'Table 5B2_RSD_LA'!M14</f>
        <v>112.70873942625965</v>
      </c>
      <c r="N132" s="1085">
        <f t="shared" si="25"/>
        <v>4054.259439189049</v>
      </c>
      <c r="O132" s="1116">
        <f t="shared" si="26"/>
        <v>-36488.334952701436</v>
      </c>
      <c r="P132" s="1135">
        <f>E132</f>
        <v>275</v>
      </c>
      <c r="Q132" s="1135">
        <f t="shared" si="27"/>
        <v>-9</v>
      </c>
      <c r="R132" s="1135">
        <f t="shared" si="28"/>
        <v>0</v>
      </c>
    </row>
    <row r="133" spans="1:18" ht="12" customHeight="1">
      <c r="A133" s="799"/>
      <c r="B133" s="800" t="s">
        <v>755</v>
      </c>
      <c r="C133" s="802">
        <f>'Table 5B2_RSD_LA'!C15</f>
        <v>536</v>
      </c>
      <c r="D133" s="802">
        <v>0</v>
      </c>
      <c r="E133" s="802">
        <f>'[19]RSD Members &amp; At-Risk by Site'!$X$13</f>
        <v>430</v>
      </c>
      <c r="F133" s="1045">
        <f t="shared" si="21"/>
        <v>430</v>
      </c>
      <c r="G133" s="1059">
        <f t="shared" si="22"/>
        <v>1</v>
      </c>
      <c r="H133" s="802">
        <f t="shared" si="11"/>
        <v>430</v>
      </c>
      <c r="I133" s="802">
        <f t="shared" si="23"/>
        <v>536</v>
      </c>
      <c r="J133" s="1045">
        <f t="shared" si="24"/>
        <v>-106</v>
      </c>
      <c r="K133" s="1085">
        <f>'Table 5B2_RSD_LA'!D15</f>
        <v>3632.310699762789</v>
      </c>
      <c r="L133" s="1100">
        <f>'Table 5B2_RSD_LA'!F15+'Table 5B2_RSD_LA'!H15</f>
        <v>309.24</v>
      </c>
      <c r="M133" s="1085">
        <f>'Table 5B2_RSD_LA'!M15</f>
        <v>112.70873942625965</v>
      </c>
      <c r="N133" s="1085">
        <f t="shared" si="25"/>
        <v>4054.259439189049</v>
      </c>
      <c r="O133" s="1116">
        <f t="shared" si="26"/>
        <v>-429751.5005540392</v>
      </c>
      <c r="P133" s="1135">
        <f>E133</f>
        <v>430</v>
      </c>
      <c r="Q133" s="1135">
        <f t="shared" si="27"/>
        <v>-106</v>
      </c>
      <c r="R133" s="1135">
        <f t="shared" si="28"/>
        <v>0</v>
      </c>
    </row>
    <row r="134" spans="1:18" ht="12" customHeight="1">
      <c r="A134" s="799"/>
      <c r="B134" s="800" t="s">
        <v>756</v>
      </c>
      <c r="C134" s="802">
        <f>'Table 5B2_RSD_LA'!C16</f>
        <v>613</v>
      </c>
      <c r="D134" s="802">
        <v>0</v>
      </c>
      <c r="E134" s="802">
        <f>'[19]RSD Members &amp; At-Risk by Site'!$X$20</f>
        <v>447</v>
      </c>
      <c r="F134" s="1045">
        <f t="shared" si="21"/>
        <v>447</v>
      </c>
      <c r="G134" s="1059">
        <f t="shared" si="22"/>
        <v>1</v>
      </c>
      <c r="H134" s="802">
        <f t="shared" si="11"/>
        <v>447</v>
      </c>
      <c r="I134" s="802">
        <f t="shared" si="23"/>
        <v>613</v>
      </c>
      <c r="J134" s="1045">
        <f t="shared" si="24"/>
        <v>-166</v>
      </c>
      <c r="K134" s="1085">
        <f>'Table 5B2_RSD_LA'!D16</f>
        <v>3632.310699762789</v>
      </c>
      <c r="L134" s="1100">
        <f>'Table 5B2_RSD_LA'!F16+'Table 5B2_RSD_LA'!H16</f>
        <v>309.24</v>
      </c>
      <c r="M134" s="1085">
        <f>'Table 5B2_RSD_LA'!M16</f>
        <v>112.70873942625965</v>
      </c>
      <c r="N134" s="1085">
        <f t="shared" si="25"/>
        <v>4054.259439189049</v>
      </c>
      <c r="O134" s="1116">
        <f t="shared" si="26"/>
        <v>-673007.0669053821</v>
      </c>
      <c r="P134" s="1135">
        <f>E134</f>
        <v>447</v>
      </c>
      <c r="Q134" s="1135">
        <f t="shared" si="27"/>
        <v>-166</v>
      </c>
      <c r="R134" s="1135">
        <f t="shared" si="28"/>
        <v>0</v>
      </c>
    </row>
    <row r="135" spans="1:18" ht="12" customHeight="1">
      <c r="A135" s="803"/>
      <c r="B135" s="804"/>
      <c r="C135" s="806"/>
      <c r="D135" s="806"/>
      <c r="E135" s="806"/>
      <c r="F135" s="1047"/>
      <c r="G135" s="1063"/>
      <c r="H135" s="806"/>
      <c r="I135" s="806"/>
      <c r="J135" s="1047"/>
      <c r="K135" s="1086"/>
      <c r="L135" s="1101"/>
      <c r="M135" s="1086"/>
      <c r="N135" s="1086"/>
      <c r="O135" s="1117"/>
      <c r="P135" s="1136"/>
      <c r="Q135" s="1136">
        <f t="shared" si="27"/>
        <v>0</v>
      </c>
      <c r="R135" s="1136">
        <f t="shared" si="28"/>
        <v>0</v>
      </c>
    </row>
    <row r="136" spans="1:18" ht="12.75">
      <c r="A136" s="767"/>
      <c r="B136" s="768" t="s">
        <v>607</v>
      </c>
      <c r="C136" s="16">
        <f>SUM(C127:C135)</f>
        <v>3032</v>
      </c>
      <c r="D136" s="16">
        <f>SUM(D127:D135)</f>
        <v>1235</v>
      </c>
      <c r="E136" s="16">
        <f>SUM(E127:E135)</f>
        <v>2481</v>
      </c>
      <c r="F136" s="1048">
        <f>SUM(F127:F135)</f>
        <v>1246</v>
      </c>
      <c r="G136" s="1064">
        <f t="shared" si="22"/>
        <v>1.0089068825910932</v>
      </c>
      <c r="H136" s="1048">
        <f>SUM(H127:H135)</f>
        <v>1512</v>
      </c>
      <c r="I136" s="1048">
        <f>SUM(I127:I135)</f>
        <v>1797</v>
      </c>
      <c r="J136" s="1113">
        <f>SUM(J127:J135)</f>
        <v>-285</v>
      </c>
      <c r="K136" s="525"/>
      <c r="L136" s="870"/>
      <c r="M136" s="525"/>
      <c r="N136" s="525"/>
      <c r="O136" s="1121">
        <f>SUM(O127:O135)</f>
        <v>-1155990.5877437894</v>
      </c>
      <c r="P136" s="1134">
        <f>SUM(P127:P135)</f>
        <v>2747</v>
      </c>
      <c r="Q136" s="1134">
        <f>SUM(Q127:Q135)</f>
        <v>-285</v>
      </c>
      <c r="R136" s="1134">
        <f>SUM(R127:R135)</f>
        <v>266</v>
      </c>
    </row>
    <row r="137" spans="1:18" ht="6.75" customHeight="1">
      <c r="A137" s="770"/>
      <c r="B137" s="771"/>
      <c r="C137" s="772"/>
      <c r="D137" s="772"/>
      <c r="E137" s="772"/>
      <c r="F137" s="1042"/>
      <c r="G137" s="1056"/>
      <c r="H137" s="772"/>
      <c r="I137" s="772"/>
      <c r="J137" s="1042"/>
      <c r="K137" s="1082"/>
      <c r="L137" s="1098"/>
      <c r="M137" s="1082"/>
      <c r="N137" s="1082"/>
      <c r="O137" s="1082"/>
      <c r="P137" s="1140"/>
      <c r="Q137" s="1140"/>
      <c r="R137" s="1140"/>
    </row>
    <row r="138" spans="1:18" ht="12" customHeight="1">
      <c r="A138" s="781"/>
      <c r="B138" s="782" t="s">
        <v>181</v>
      </c>
      <c r="C138" s="783">
        <f>'Table 5B2_RSD_LA'!C22</f>
        <v>405</v>
      </c>
      <c r="D138" s="783">
        <f>'Table 8 Membership, 2.1.09'!R141</f>
        <v>405</v>
      </c>
      <c r="E138" s="783">
        <f>'[19]RSD Members &amp; At-Risk by Site'!$X$22</f>
        <v>385</v>
      </c>
      <c r="F138" s="1049">
        <f>E138-D138</f>
        <v>-20</v>
      </c>
      <c r="G138" s="1065">
        <f t="shared" si="22"/>
        <v>-0.04938271604938271</v>
      </c>
      <c r="H138" s="783">
        <f t="shared" si="11"/>
        <v>0</v>
      </c>
      <c r="I138" s="783">
        <f>C138-D138</f>
        <v>0</v>
      </c>
      <c r="J138" s="1114">
        <f>H138-I138</f>
        <v>0</v>
      </c>
      <c r="K138" s="1087">
        <f>'Table 5B2_RSD_LA'!D22</f>
        <v>3980.6376294007673</v>
      </c>
      <c r="L138" s="1102">
        <f>'Table 5B2_RSD_LA'!F22+'Table 5B2_RSD_LA'!H22</f>
        <v>323.63</v>
      </c>
      <c r="M138" s="1087">
        <f>'Table 5B2_RSD_LA'!M22</f>
        <v>50.20142180094787</v>
      </c>
      <c r="N138" s="1087">
        <f>K138+L138+M138</f>
        <v>4354.469051201715</v>
      </c>
      <c r="O138" s="1122">
        <f>J138*N138</f>
        <v>0</v>
      </c>
      <c r="P138" s="1142">
        <f>C138</f>
        <v>405</v>
      </c>
      <c r="Q138" s="1142">
        <f>P138-C138</f>
        <v>0</v>
      </c>
      <c r="R138" s="1142">
        <f>P138-E138</f>
        <v>20</v>
      </c>
    </row>
    <row r="139" spans="1:18" ht="12.75">
      <c r="A139" s="767"/>
      <c r="B139" s="768" t="s">
        <v>608</v>
      </c>
      <c r="C139" s="16">
        <f>SUM(C138)</f>
        <v>405</v>
      </c>
      <c r="D139" s="16">
        <f>SUM(D138)</f>
        <v>405</v>
      </c>
      <c r="E139" s="16">
        <f>SUM(E138)</f>
        <v>385</v>
      </c>
      <c r="F139" s="1048">
        <f>SUM(F138)</f>
        <v>-20</v>
      </c>
      <c r="G139" s="1064">
        <f t="shared" si="22"/>
        <v>-0.04938271604938271</v>
      </c>
      <c r="H139" s="16">
        <f>SUM(H138)</f>
        <v>0</v>
      </c>
      <c r="I139" s="16">
        <f>SUM(I138)</f>
        <v>0</v>
      </c>
      <c r="J139" s="1113">
        <f>SUM(J138)</f>
        <v>0</v>
      </c>
      <c r="K139" s="525"/>
      <c r="L139" s="870"/>
      <c r="M139" s="525"/>
      <c r="N139" s="525"/>
      <c r="O139" s="1121">
        <f>SUM(O138)</f>
        <v>0</v>
      </c>
      <c r="P139" s="1134">
        <f>SUM(P138)</f>
        <v>405</v>
      </c>
      <c r="Q139" s="1134">
        <f>SUM(Q138)</f>
        <v>0</v>
      </c>
      <c r="R139" s="1134">
        <f>SUM(R138)</f>
        <v>20</v>
      </c>
    </row>
    <row r="140" spans="1:18" ht="6.75" customHeight="1">
      <c r="A140" s="770"/>
      <c r="B140" s="771"/>
      <c r="C140" s="772"/>
      <c r="D140" s="772"/>
      <c r="E140" s="772"/>
      <c r="F140" s="1042"/>
      <c r="G140" s="1056"/>
      <c r="H140" s="772"/>
      <c r="I140" s="772"/>
      <c r="J140" s="1042"/>
      <c r="K140" s="1082"/>
      <c r="L140" s="1098"/>
      <c r="M140" s="1082"/>
      <c r="N140" s="1082"/>
      <c r="O140" s="1082"/>
      <c r="P140" s="1140"/>
      <c r="Q140" s="1140"/>
      <c r="R140" s="1140"/>
    </row>
    <row r="141" spans="1:18" ht="12" customHeight="1">
      <c r="A141" s="807"/>
      <c r="B141" s="808" t="s">
        <v>198</v>
      </c>
      <c r="C141" s="810">
        <f>'Table 5B2_RSD_LA'!C27</f>
        <v>443</v>
      </c>
      <c r="D141" s="810">
        <v>0</v>
      </c>
      <c r="E141" s="810">
        <f>'[19]RSD Members &amp; At-Risk by Site'!$X$10</f>
        <v>271</v>
      </c>
      <c r="F141" s="1050">
        <f>E141-D141</f>
        <v>271</v>
      </c>
      <c r="G141" s="1066">
        <f t="shared" si="22"/>
        <v>1</v>
      </c>
      <c r="H141" s="810">
        <f>IF(OR(G141&gt;0.99%=TRUE,F141&gt;49=TRUE),E141-D141,0)</f>
        <v>271</v>
      </c>
      <c r="I141" s="810">
        <f>C141-D141</f>
        <v>443</v>
      </c>
      <c r="J141" s="1050">
        <f>H141-I141</f>
        <v>-172</v>
      </c>
      <c r="K141" s="1088">
        <f>'Table 5B2_RSD_LA'!D27</f>
        <v>4878.837271866106</v>
      </c>
      <c r="L141" s="1103">
        <f>'Table 5B2_RSD_LA'!F27+'Table 5B2_RSD_LA'!H27</f>
        <v>324.53</v>
      </c>
      <c r="M141" s="1088">
        <f>'Table 5B2_RSD_LA'!M27</f>
        <v>105.77</v>
      </c>
      <c r="N141" s="1088">
        <f>K141+L141+M141</f>
        <v>5309.137271866106</v>
      </c>
      <c r="O141" s="1119">
        <f>J141*N141</f>
        <v>-913171.6107609703</v>
      </c>
      <c r="P141" s="1138">
        <f>E141</f>
        <v>271</v>
      </c>
      <c r="Q141" s="1138">
        <f>P141-C141</f>
        <v>-172</v>
      </c>
      <c r="R141" s="1138">
        <f>P141-E141</f>
        <v>0</v>
      </c>
    </row>
    <row r="142" spans="1:18" ht="12" customHeight="1">
      <c r="A142" s="803"/>
      <c r="B142" s="804" t="s">
        <v>199</v>
      </c>
      <c r="C142" s="806">
        <f>'Table 5B2_RSD_LA'!C28</f>
        <v>696</v>
      </c>
      <c r="D142" s="806">
        <v>0</v>
      </c>
      <c r="E142" s="806">
        <f>'[19]RSD Members &amp; At-Risk by Site'!$X$11</f>
        <v>655</v>
      </c>
      <c r="F142" s="1047">
        <f>E142-D142</f>
        <v>655</v>
      </c>
      <c r="G142" s="1063">
        <f t="shared" si="22"/>
        <v>1</v>
      </c>
      <c r="H142" s="806">
        <f>IF(OR(G142&gt;0.99%=TRUE,F142&gt;49=TRUE),E142-D142,0)</f>
        <v>655</v>
      </c>
      <c r="I142" s="806">
        <f>C142-D142</f>
        <v>696</v>
      </c>
      <c r="J142" s="1047">
        <f>H142-I142</f>
        <v>-41</v>
      </c>
      <c r="K142" s="1086">
        <f>'Table 5B2_RSD_LA'!D28</f>
        <v>4878.837271866106</v>
      </c>
      <c r="L142" s="1101">
        <f>'Table 5B2_RSD_LA'!F28+'Table 5B2_RSD_LA'!H28</f>
        <v>324.53</v>
      </c>
      <c r="M142" s="1086">
        <f>'Table 5B2_RSD_LA'!M28</f>
        <v>105.77</v>
      </c>
      <c r="N142" s="1086">
        <f>K142+L142+M142</f>
        <v>5309.137271866106</v>
      </c>
      <c r="O142" s="1117">
        <f>J142*N142</f>
        <v>-217674.62814651034</v>
      </c>
      <c r="P142" s="1136">
        <f>E142</f>
        <v>655</v>
      </c>
      <c r="Q142" s="1136">
        <f>P142-C142</f>
        <v>-41</v>
      </c>
      <c r="R142" s="1136">
        <f>P142-E142</f>
        <v>0</v>
      </c>
    </row>
    <row r="143" spans="1:18" ht="12.75">
      <c r="A143" s="1070"/>
      <c r="B143" s="1071" t="s">
        <v>174</v>
      </c>
      <c r="C143" s="1072">
        <f>SUM(C141:C142)</f>
        <v>1139</v>
      </c>
      <c r="D143" s="1072">
        <f>SUM(D141:D142)</f>
        <v>0</v>
      </c>
      <c r="E143" s="1072">
        <f>SUM(E141:E142)</f>
        <v>926</v>
      </c>
      <c r="F143" s="1073">
        <f>SUM(F141:F142)</f>
        <v>926</v>
      </c>
      <c r="G143" s="1074">
        <f t="shared" si="22"/>
        <v>1</v>
      </c>
      <c r="H143" s="1072">
        <f>SUM(H141:H142)</f>
        <v>926</v>
      </c>
      <c r="I143" s="1072">
        <f>SUM(I141:I142)</f>
        <v>1139</v>
      </c>
      <c r="J143" s="1115">
        <f>SUM(J141:J142)</f>
        <v>-213</v>
      </c>
      <c r="K143" s="1089"/>
      <c r="L143" s="1104"/>
      <c r="M143" s="1089"/>
      <c r="N143" s="1072"/>
      <c r="O143" s="1123">
        <f>SUM(O141:O142)</f>
        <v>-1130846.2389074806</v>
      </c>
      <c r="P143" s="1143">
        <f>SUM(P141:P142)</f>
        <v>926</v>
      </c>
      <c r="Q143" s="1143">
        <f>SUM(Q141:Q142)</f>
        <v>-213</v>
      </c>
      <c r="R143" s="1143">
        <f>SUM(R141:R142)</f>
        <v>0</v>
      </c>
    </row>
    <row r="145" spans="1:18" ht="12.75">
      <c r="A145" s="1070"/>
      <c r="B145" s="1071" t="s">
        <v>788</v>
      </c>
      <c r="C145" s="1072">
        <f>C143+C139+C136+C125+C83+C75+C79</f>
        <v>652273</v>
      </c>
      <c r="D145" s="1072">
        <f>D143+D139+D136+D125+D83+D75+D79</f>
        <v>648281</v>
      </c>
      <c r="E145" s="1072">
        <f>E143+E139+E136+E125+E83+E75+E79</f>
        <v>661541</v>
      </c>
      <c r="F145" s="1073">
        <f>F143+F139+F136+F125+F83+F75+F79</f>
        <v>13260</v>
      </c>
      <c r="G145" s="1074"/>
      <c r="H145" s="1072">
        <f>H143+H139+H136+H125+H83+H75+H79</f>
        <v>15286</v>
      </c>
      <c r="I145" s="1072">
        <f>I143+I139+I136+I125+I83+I75+I79</f>
        <v>3992</v>
      </c>
      <c r="J145" s="1115">
        <f>J143+J139+J136+J125+J83+J75+J79</f>
        <v>11099</v>
      </c>
      <c r="K145" s="1089"/>
      <c r="L145" s="1104"/>
      <c r="M145" s="1089"/>
      <c r="N145" s="1072"/>
      <c r="O145" s="1123">
        <f>O143+O139+O136+O125+O83+O75+O79</f>
        <v>51497446.192371845</v>
      </c>
      <c r="P145" s="1143">
        <f>P143+P139+P136+P125+P83+P75+P79</f>
        <v>663372</v>
      </c>
      <c r="Q145" s="1143">
        <f>Q143+Q139+Q136+Q125+Q83+Q75+Q79</f>
        <v>11099</v>
      </c>
      <c r="R145" s="1143">
        <f>R143+R139+R136+R125+R83+R75+R79</f>
        <v>1831</v>
      </c>
    </row>
    <row r="146" ht="12.75">
      <c r="A146" s="1075"/>
    </row>
    <row r="147" spans="1:18" s="95" customFormat="1" ht="61.5" customHeight="1">
      <c r="A147" s="1451"/>
      <c r="B147" s="1452"/>
      <c r="C147" s="1452"/>
      <c r="D147" s="1452"/>
      <c r="E147" s="1452"/>
      <c r="F147" s="1452"/>
      <c r="G147" s="1452"/>
      <c r="H147" s="910"/>
      <c r="I147" s="910"/>
      <c r="J147" s="1068"/>
      <c r="K147" s="1090"/>
      <c r="L147" s="1105"/>
      <c r="M147" s="1090"/>
      <c r="N147" s="910"/>
      <c r="O147" s="1090"/>
      <c r="P147" s="910"/>
      <c r="Q147" s="910"/>
      <c r="R147" s="910"/>
    </row>
    <row r="148" ht="18.75" customHeight="1"/>
    <row r="150" ht="12.75">
      <c r="B150" s="784"/>
    </row>
  </sheetData>
  <sheetProtection/>
  <mergeCells count="18">
    <mergeCell ref="Q2:Q3"/>
    <mergeCell ref="R2:R3"/>
    <mergeCell ref="B2:B3"/>
    <mergeCell ref="C2:C3"/>
    <mergeCell ref="F2:G2"/>
    <mergeCell ref="H2:H3"/>
    <mergeCell ref="I2:I3"/>
    <mergeCell ref="L2:L3"/>
    <mergeCell ref="O2:O3"/>
    <mergeCell ref="P2:P3"/>
    <mergeCell ref="A147:G147"/>
    <mergeCell ref="D2:D3"/>
    <mergeCell ref="E2:E3"/>
    <mergeCell ref="J2:J3"/>
    <mergeCell ref="K2:K3"/>
    <mergeCell ref="N2:N3"/>
    <mergeCell ref="M2:M3"/>
    <mergeCell ref="A2:A3"/>
  </mergeCells>
  <printOptions horizontalCentered="1"/>
  <pageMargins left="0.25" right="0.25" top="1.17" bottom="0.43" header="0.62" footer="0.23"/>
  <pageSetup firstPageNumber="35" useFirstPageNumber="1" fitToHeight="2" horizontalDpi="600" verticalDpi="600" orientation="portrait" scale="61" r:id="rId1"/>
  <headerFooter alignWithMargins="0">
    <oddHeader>&amp;L&amp;"Arial,Bold"&amp;22FY2009-10 MFP Budget Letter: December 2009 Midyear Adjustment for Growth</oddHeader>
    <oddFooter>&amp;R&amp;P</oddFooter>
  </headerFooter>
  <rowBreaks count="1" manualBreakCount="1">
    <brk id="76" max="18" man="1"/>
  </rowBreaks>
  <colBreaks count="1" manualBreakCount="1">
    <brk id="10" min="1" max="1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N149"/>
  <sheetViews>
    <sheetView view="pageBreakPreview" zoomScale="79" zoomScaleNormal="85" zoomScaleSheetLayoutView="79" zoomScalePageLayoutView="0" workbookViewId="0" topLeftCell="A1">
      <pane xSplit="2" ySplit="4" topLeftCell="C128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E149" sqref="E149"/>
    </sheetView>
  </sheetViews>
  <sheetFormatPr defaultColWidth="9.140625" defaultRowHeight="12.75"/>
  <cols>
    <col min="1" max="1" width="4.421875" style="0" customWidth="1"/>
    <col min="2" max="2" width="42.421875" style="0" customWidth="1"/>
    <col min="3" max="3" width="11.140625" style="2" customWidth="1"/>
    <col min="4" max="4" width="10.8515625" style="2" customWidth="1"/>
    <col min="5" max="5" width="10.7109375" style="0" customWidth="1"/>
    <col min="6" max="6" width="9.7109375" style="634" customWidth="1"/>
    <col min="7" max="7" width="10.57421875" style="2" customWidth="1"/>
    <col min="8" max="8" width="10.00390625" style="6" customWidth="1"/>
    <col min="9" max="9" width="8.57421875" style="547" bestFit="1" customWidth="1"/>
    <col min="10" max="10" width="8.57421875" style="6" bestFit="1" customWidth="1"/>
    <col min="11" max="11" width="10.421875" style="2" customWidth="1"/>
    <col min="12" max="12" width="9.00390625" style="2" bestFit="1" customWidth="1"/>
    <col min="13" max="13" width="12.421875" style="6" customWidth="1"/>
  </cols>
  <sheetData>
    <row r="2" spans="1:13" ht="66" customHeight="1">
      <c r="A2" s="1454" t="s">
        <v>408</v>
      </c>
      <c r="B2" s="1453" t="s">
        <v>442</v>
      </c>
      <c r="C2" s="1493" t="s">
        <v>877</v>
      </c>
      <c r="D2" s="1493" t="s">
        <v>878</v>
      </c>
      <c r="E2" s="1488" t="s">
        <v>838</v>
      </c>
      <c r="F2" s="1489"/>
      <c r="G2" s="1495" t="s">
        <v>876</v>
      </c>
      <c r="H2" s="1484" t="s">
        <v>766</v>
      </c>
      <c r="I2" s="1490" t="s">
        <v>894</v>
      </c>
      <c r="J2" s="1484" t="s">
        <v>895</v>
      </c>
      <c r="K2" s="1480" t="s">
        <v>769</v>
      </c>
      <c r="L2" s="1480" t="s">
        <v>923</v>
      </c>
      <c r="M2" s="1484" t="s">
        <v>770</v>
      </c>
    </row>
    <row r="3" spans="1:13" ht="92.25" customHeight="1">
      <c r="A3" s="1455"/>
      <c r="B3" s="1453"/>
      <c r="C3" s="1494"/>
      <c r="D3" s="1494"/>
      <c r="E3" s="1038" t="s">
        <v>758</v>
      </c>
      <c r="F3" s="1051" t="s">
        <v>759</v>
      </c>
      <c r="G3" s="1496"/>
      <c r="H3" s="1485"/>
      <c r="I3" s="1491"/>
      <c r="J3" s="1485"/>
      <c r="K3" s="1481"/>
      <c r="L3" s="1481"/>
      <c r="M3" s="1485"/>
    </row>
    <row r="4" spans="1:13" ht="12.75">
      <c r="A4" s="140"/>
      <c r="B4" s="311"/>
      <c r="C4" s="311">
        <v>1</v>
      </c>
      <c r="D4" s="311">
        <f>C4+1</f>
        <v>2</v>
      </c>
      <c r="E4" s="311">
        <f aca="true" t="shared" si="0" ref="E4:K4">D4+1</f>
        <v>3</v>
      </c>
      <c r="F4" s="311">
        <f t="shared" si="0"/>
        <v>4</v>
      </c>
      <c r="G4" s="311">
        <f t="shared" si="0"/>
        <v>5</v>
      </c>
      <c r="H4" s="311">
        <f t="shared" si="0"/>
        <v>6</v>
      </c>
      <c r="I4" s="311">
        <f t="shared" si="0"/>
        <v>7</v>
      </c>
      <c r="J4" s="311">
        <f t="shared" si="0"/>
        <v>8</v>
      </c>
      <c r="K4" s="311">
        <f t="shared" si="0"/>
        <v>9</v>
      </c>
      <c r="L4" s="311">
        <f>K4+1</f>
        <v>10</v>
      </c>
      <c r="M4" s="311">
        <f>L4+1</f>
        <v>11</v>
      </c>
    </row>
    <row r="5" spans="1:13" s="1124" customFormat="1" ht="37.5" customHeight="1">
      <c r="A5" s="140"/>
      <c r="B5" s="311"/>
      <c r="C5" s="1126" t="s">
        <v>771</v>
      </c>
      <c r="D5" s="1126" t="s">
        <v>771</v>
      </c>
      <c r="E5" s="1206" t="s">
        <v>888</v>
      </c>
      <c r="F5" s="1206" t="s">
        <v>889</v>
      </c>
      <c r="G5" s="1126"/>
      <c r="H5" s="1207" t="s">
        <v>890</v>
      </c>
      <c r="I5" s="1207" t="s">
        <v>890</v>
      </c>
      <c r="J5" s="1207" t="s">
        <v>890</v>
      </c>
      <c r="K5" s="1207" t="s">
        <v>891</v>
      </c>
      <c r="L5" s="1207" t="s">
        <v>892</v>
      </c>
      <c r="M5" s="1207" t="s">
        <v>893</v>
      </c>
    </row>
    <row r="6" spans="1:13" ht="12.75">
      <c r="A6" s="124">
        <v>1</v>
      </c>
      <c r="B6" s="124" t="s">
        <v>501</v>
      </c>
      <c r="C6" s="761">
        <f>'[18]1_MFP &amp; Funded Membership'!$U9</f>
        <v>9161</v>
      </c>
      <c r="D6" s="761">
        <f>'[24]1_MFP &amp; Funded Membership'!U9</f>
        <v>9102</v>
      </c>
      <c r="E6" s="1039">
        <f>D6-C6</f>
        <v>-59</v>
      </c>
      <c r="F6" s="269">
        <f>E6/C6</f>
        <v>-0.0064403449405086785</v>
      </c>
      <c r="G6" s="1209">
        <f>IF(OR(F6&gt;0.99%=TRUE,E6&gt;49=TRUE),D6-C6,0)</f>
        <v>0</v>
      </c>
      <c r="H6" s="1076">
        <f>'Table 3 Levels 1&amp;2'!AL8</f>
        <v>5018</v>
      </c>
      <c r="I6" s="1091">
        <f>'Table 4 Level 3'!W6+'Table 4 Level 3'!AA6</f>
        <v>311.62</v>
      </c>
      <c r="J6" s="1076">
        <f>'Table 4 Level 3'!AE6</f>
        <v>101.28</v>
      </c>
      <c r="K6" s="1076">
        <f>H6+I6+J6</f>
        <v>5430.9</v>
      </c>
      <c r="L6" s="1076">
        <f>K6*0.5</f>
        <v>2715.45</v>
      </c>
      <c r="M6" s="1116">
        <f>L6*G6</f>
        <v>0</v>
      </c>
    </row>
    <row r="7" spans="1:13" ht="12.75">
      <c r="A7" s="124">
        <v>2</v>
      </c>
      <c r="B7" s="124" t="s">
        <v>502</v>
      </c>
      <c r="C7" s="761">
        <f>'[18]1_MFP &amp; Funded Membership'!$U10</f>
        <v>4011</v>
      </c>
      <c r="D7" s="761">
        <f>'[24]1_MFP &amp; Funded Membership'!U10</f>
        <v>4018</v>
      </c>
      <c r="E7" s="1039">
        <f aca="true" t="shared" si="1" ref="E7:E70">D7-C7</f>
        <v>7</v>
      </c>
      <c r="F7" s="269">
        <f aca="true" t="shared" si="2" ref="F7:F70">E7/C7</f>
        <v>0.0017452006980802793</v>
      </c>
      <c r="G7" s="1209">
        <f aca="true" t="shared" si="3" ref="G7:G70">IF(OR(F7&gt;0.99%=TRUE,E7&gt;49=TRUE),D7-C7,0)</f>
        <v>0</v>
      </c>
      <c r="H7" s="1076">
        <f>'Table 3 Levels 1&amp;2'!AL9</f>
        <v>6317.648670242803</v>
      </c>
      <c r="I7" s="1091">
        <f>'Table 4 Level 3'!W7+'Table 4 Level 3'!AA7</f>
        <v>352.52</v>
      </c>
      <c r="J7" s="1076">
        <f>'Table 4 Level 3'!AE7</f>
        <v>125.63</v>
      </c>
      <c r="K7" s="1076">
        <f aca="true" t="shared" si="4" ref="K7:K70">H7+I7+J7</f>
        <v>6795.798670242803</v>
      </c>
      <c r="L7" s="1076">
        <f aca="true" t="shared" si="5" ref="L7:L70">K7*0.5</f>
        <v>3397.8993351214017</v>
      </c>
      <c r="M7" s="1116">
        <f aca="true" t="shared" si="6" ref="M7:M70">L7*G7</f>
        <v>0</v>
      </c>
    </row>
    <row r="8" spans="1:13" ht="12.75">
      <c r="A8" s="124">
        <v>3</v>
      </c>
      <c r="B8" s="124" t="s">
        <v>503</v>
      </c>
      <c r="C8" s="762">
        <f>'[18]1_MFP &amp; Funded Membership'!$U11</f>
        <v>19066</v>
      </c>
      <c r="D8" s="762">
        <f>'[24]1_MFP &amp; Funded Membership'!U11</f>
        <v>19028</v>
      </c>
      <c r="E8" s="1039">
        <f t="shared" si="1"/>
        <v>-38</v>
      </c>
      <c r="F8" s="269">
        <f t="shared" si="2"/>
        <v>-0.001993076681002832</v>
      </c>
      <c r="G8" s="1209">
        <f t="shared" si="3"/>
        <v>0</v>
      </c>
      <c r="H8" s="477">
        <f>'Table 3 Levels 1&amp;2'!AL10</f>
        <v>4324.031230153168</v>
      </c>
      <c r="I8" s="1092">
        <f>'Table 4 Level 3'!W8+'Table 4 Level 3'!AA8</f>
        <v>296.37</v>
      </c>
      <c r="J8" s="477">
        <f>'Table 4 Level 3'!AE8</f>
        <v>101.25</v>
      </c>
      <c r="K8" s="477">
        <f t="shared" si="4"/>
        <v>4721.6512301531675</v>
      </c>
      <c r="L8" s="477">
        <f t="shared" si="5"/>
        <v>2360.8256150765837</v>
      </c>
      <c r="M8" s="1116">
        <f t="shared" si="6"/>
        <v>0</v>
      </c>
    </row>
    <row r="9" spans="1:13" ht="12.75">
      <c r="A9" s="124">
        <v>4</v>
      </c>
      <c r="B9" s="124" t="s">
        <v>504</v>
      </c>
      <c r="C9" s="762">
        <f>'[18]1_MFP &amp; Funded Membership'!$U12</f>
        <v>3717</v>
      </c>
      <c r="D9" s="762">
        <f>'[24]1_MFP &amp; Funded Membership'!U12</f>
        <v>3681</v>
      </c>
      <c r="E9" s="1039">
        <f t="shared" si="1"/>
        <v>-36</v>
      </c>
      <c r="F9" s="269">
        <f t="shared" si="2"/>
        <v>-0.009685230024213076</v>
      </c>
      <c r="G9" s="1209">
        <f t="shared" si="3"/>
        <v>0</v>
      </c>
      <c r="H9" s="477">
        <f>'Table 3 Levels 1&amp;2'!AL11</f>
        <v>6276.02325447062</v>
      </c>
      <c r="I9" s="1092">
        <f>'Table 4 Level 3'!W9+'Table 4 Level 3'!AA9</f>
        <v>341.95000000000005</v>
      </c>
      <c r="J9" s="477">
        <f>'Table 4 Level 3'!AE9</f>
        <v>0</v>
      </c>
      <c r="K9" s="477">
        <f t="shared" si="4"/>
        <v>6617.973254470619</v>
      </c>
      <c r="L9" s="477">
        <f t="shared" si="5"/>
        <v>3308.9866272353097</v>
      </c>
      <c r="M9" s="1116">
        <f t="shared" si="6"/>
        <v>0</v>
      </c>
    </row>
    <row r="10" spans="1:13" ht="12.75">
      <c r="A10" s="125">
        <v>5</v>
      </c>
      <c r="B10" s="125" t="s">
        <v>505</v>
      </c>
      <c r="C10" s="763">
        <f>'[18]1_MFP &amp; Funded Membership'!$U13</f>
        <v>5930</v>
      </c>
      <c r="D10" s="763">
        <f>'[24]1_MFP &amp; Funded Membership'!U13</f>
        <v>5858</v>
      </c>
      <c r="E10" s="1040">
        <f t="shared" si="1"/>
        <v>-72</v>
      </c>
      <c r="F10" s="270">
        <f t="shared" si="2"/>
        <v>-0.012141652613827993</v>
      </c>
      <c r="G10" s="1210">
        <f t="shared" si="3"/>
        <v>0</v>
      </c>
      <c r="H10" s="1077">
        <f>'Table 3 Levels 1&amp;2'!AL12</f>
        <v>5252.380905184385</v>
      </c>
      <c r="I10" s="1093">
        <f>'Table 4 Level 3'!W10+'Table 4 Level 3'!AA10</f>
        <v>261.01</v>
      </c>
      <c r="J10" s="1077">
        <f>'Table 4 Level 3'!AE10</f>
        <v>0</v>
      </c>
      <c r="K10" s="1077">
        <f t="shared" si="4"/>
        <v>5513.390905184385</v>
      </c>
      <c r="L10" s="1077">
        <f t="shared" si="5"/>
        <v>2756.6954525921924</v>
      </c>
      <c r="M10" s="1117">
        <f t="shared" si="6"/>
        <v>0</v>
      </c>
    </row>
    <row r="11" spans="1:13" ht="12.75">
      <c r="A11" s="124">
        <v>6</v>
      </c>
      <c r="B11" s="124" t="s">
        <v>506</v>
      </c>
      <c r="C11" s="761">
        <f>'[18]1_MFP &amp; Funded Membership'!$U14</f>
        <v>5998</v>
      </c>
      <c r="D11" s="761">
        <f>'[24]1_MFP &amp; Funded Membership'!U14</f>
        <v>5976</v>
      </c>
      <c r="E11" s="1039">
        <f t="shared" si="1"/>
        <v>-22</v>
      </c>
      <c r="F11" s="269">
        <f t="shared" si="2"/>
        <v>-0.003667889296432144</v>
      </c>
      <c r="G11" s="1209">
        <f t="shared" si="3"/>
        <v>0</v>
      </c>
      <c r="H11" s="1076">
        <f>'Table 3 Levels 1&amp;2'!AL13</f>
        <v>5615.691950037225</v>
      </c>
      <c r="I11" s="1091">
        <f>'Table 4 Level 3'!W11+'Table 4 Level 3'!AA11</f>
        <v>308.05</v>
      </c>
      <c r="J11" s="1076">
        <f>'Table 4 Level 3'!AE11</f>
        <v>0</v>
      </c>
      <c r="K11" s="1076">
        <f t="shared" si="4"/>
        <v>5923.741950037225</v>
      </c>
      <c r="L11" s="1076">
        <f t="shared" si="5"/>
        <v>2961.8709750186126</v>
      </c>
      <c r="M11" s="1116">
        <f t="shared" si="6"/>
        <v>0</v>
      </c>
    </row>
    <row r="12" spans="1:13" ht="12.75">
      <c r="A12" s="124">
        <v>7</v>
      </c>
      <c r="B12" s="124" t="s">
        <v>507</v>
      </c>
      <c r="C12" s="761">
        <f>'[18]1_MFP &amp; Funded Membership'!$U15</f>
        <v>2178</v>
      </c>
      <c r="D12" s="761">
        <f>'[24]1_MFP &amp; Funded Membership'!U15</f>
        <v>2226</v>
      </c>
      <c r="E12" s="1039">
        <f t="shared" si="1"/>
        <v>48</v>
      </c>
      <c r="F12" s="269">
        <f t="shared" si="2"/>
        <v>0.02203856749311295</v>
      </c>
      <c r="G12" s="1209">
        <f t="shared" si="3"/>
        <v>48</v>
      </c>
      <c r="H12" s="1076">
        <f>'Table 3 Levels 1&amp;2'!AL14</f>
        <v>2806.1178883472194</v>
      </c>
      <c r="I12" s="1091">
        <f>'Table 4 Level 3'!W12+'Table 4 Level 3'!AA12</f>
        <v>372.36</v>
      </c>
      <c r="J12" s="1076">
        <f>'Table 4 Level 3'!AE12</f>
        <v>125.67</v>
      </c>
      <c r="K12" s="1076">
        <f t="shared" si="4"/>
        <v>3304.1478883472196</v>
      </c>
      <c r="L12" s="1076">
        <f t="shared" si="5"/>
        <v>1652.0739441736098</v>
      </c>
      <c r="M12" s="1116">
        <f t="shared" si="6"/>
        <v>79299.54932033327</v>
      </c>
    </row>
    <row r="13" spans="1:13" ht="12.75">
      <c r="A13" s="124">
        <v>8</v>
      </c>
      <c r="B13" s="124" t="s">
        <v>508</v>
      </c>
      <c r="C13" s="762">
        <f>'[18]1_MFP &amp; Funded Membership'!$U16</f>
        <v>19946</v>
      </c>
      <c r="D13" s="762">
        <f>'[24]1_MFP &amp; Funded Membership'!U16</f>
        <v>19851</v>
      </c>
      <c r="E13" s="1039">
        <f t="shared" si="1"/>
        <v>-95</v>
      </c>
      <c r="F13" s="269">
        <f t="shared" si="2"/>
        <v>-0.004762859721247368</v>
      </c>
      <c r="G13" s="1209">
        <f t="shared" si="3"/>
        <v>0</v>
      </c>
      <c r="H13" s="477">
        <f>'Table 3 Levels 1&amp;2'!AL15</f>
        <v>4600.678233758967</v>
      </c>
      <c r="I13" s="1092">
        <f>'Table 4 Level 3'!W13+'Table 4 Level 3'!AA13</f>
        <v>287.41</v>
      </c>
      <c r="J13" s="477">
        <f>'Table 4 Level 3'!AE13</f>
        <v>98.85</v>
      </c>
      <c r="K13" s="477">
        <f t="shared" si="4"/>
        <v>4986.938233758967</v>
      </c>
      <c r="L13" s="477">
        <f t="shared" si="5"/>
        <v>2493.4691168794834</v>
      </c>
      <c r="M13" s="1116">
        <f t="shared" si="6"/>
        <v>0</v>
      </c>
    </row>
    <row r="14" spans="1:13" ht="12.75">
      <c r="A14" s="124">
        <v>9</v>
      </c>
      <c r="B14" s="124" t="s">
        <v>509</v>
      </c>
      <c r="C14" s="762">
        <f>'[18]1_MFP &amp; Funded Membership'!$U17</f>
        <v>40730</v>
      </c>
      <c r="D14" s="762">
        <f>'[24]1_MFP &amp; Funded Membership'!U17</f>
        <v>40593</v>
      </c>
      <c r="E14" s="1039">
        <f t="shared" si="1"/>
        <v>-137</v>
      </c>
      <c r="F14" s="269">
        <f t="shared" si="2"/>
        <v>-0.0033636140437024306</v>
      </c>
      <c r="G14" s="1209">
        <f t="shared" si="3"/>
        <v>0</v>
      </c>
      <c r="H14" s="477">
        <f>'Table 3 Levels 1&amp;2'!AL16</f>
        <v>4878.837271866106</v>
      </c>
      <c r="I14" s="1092">
        <f>'Table 4 Level 3'!W14+'Table 4 Level 3'!AA14</f>
        <v>324.53</v>
      </c>
      <c r="J14" s="477">
        <f>'Table 4 Level 3'!AE14</f>
        <v>105.77</v>
      </c>
      <c r="K14" s="477">
        <f t="shared" si="4"/>
        <v>5309.137271866106</v>
      </c>
      <c r="L14" s="477">
        <f t="shared" si="5"/>
        <v>2654.568635933053</v>
      </c>
      <c r="M14" s="1116">
        <f t="shared" si="6"/>
        <v>0</v>
      </c>
    </row>
    <row r="15" spans="1:13" ht="12.75">
      <c r="A15" s="125">
        <v>10</v>
      </c>
      <c r="B15" s="125" t="s">
        <v>510</v>
      </c>
      <c r="C15" s="763">
        <f>'[18]1_MFP &amp; Funded Membership'!$U18</f>
        <v>31355</v>
      </c>
      <c r="D15" s="763">
        <f>'[24]1_MFP &amp; Funded Membership'!U18</f>
        <v>31102</v>
      </c>
      <c r="E15" s="1040">
        <f t="shared" si="1"/>
        <v>-253</v>
      </c>
      <c r="F15" s="270">
        <f t="shared" si="2"/>
        <v>-0.008068888534524</v>
      </c>
      <c r="G15" s="1210">
        <f t="shared" si="3"/>
        <v>0</v>
      </c>
      <c r="H15" s="1077">
        <f>'Table 3 Levels 1&amp;2'!AL17</f>
        <v>4401.005797757295</v>
      </c>
      <c r="I15" s="1093">
        <f>'Table 4 Level 3'!W15+'Table 4 Level 3'!AA15</f>
        <v>341.05</v>
      </c>
      <c r="J15" s="1077">
        <f>'Table 4 Level 3'!AE15</f>
        <v>11.99</v>
      </c>
      <c r="K15" s="1077">
        <f t="shared" si="4"/>
        <v>4754.045797757295</v>
      </c>
      <c r="L15" s="1077">
        <f t="shared" si="5"/>
        <v>2377.0228988786475</v>
      </c>
      <c r="M15" s="1117">
        <f t="shared" si="6"/>
        <v>0</v>
      </c>
    </row>
    <row r="16" spans="1:13" ht="12.75">
      <c r="A16" s="124">
        <v>11</v>
      </c>
      <c r="B16" s="124" t="s">
        <v>511</v>
      </c>
      <c r="C16" s="761">
        <f>'[18]1_MFP &amp; Funded Membership'!$U19</f>
        <v>1620</v>
      </c>
      <c r="D16" s="761">
        <f>'[24]1_MFP &amp; Funded Membership'!U19</f>
        <v>1621</v>
      </c>
      <c r="E16" s="1039">
        <f t="shared" si="1"/>
        <v>1</v>
      </c>
      <c r="F16" s="269">
        <f t="shared" si="2"/>
        <v>0.0006172839506172839</v>
      </c>
      <c r="G16" s="1209">
        <f t="shared" si="3"/>
        <v>0</v>
      </c>
      <c r="H16" s="1076">
        <f>'Table 3 Levels 1&amp;2'!AL18</f>
        <v>6202.53014625842</v>
      </c>
      <c r="I16" s="1091">
        <f>'Table 4 Level 3'!W16+'Table 4 Level 3'!AA16</f>
        <v>353.24</v>
      </c>
      <c r="J16" s="1076">
        <f>'Table 4 Level 3'!AE16</f>
        <v>70.68</v>
      </c>
      <c r="K16" s="1076">
        <f t="shared" si="4"/>
        <v>6626.45014625842</v>
      </c>
      <c r="L16" s="1076">
        <f t="shared" si="5"/>
        <v>3313.22507312921</v>
      </c>
      <c r="M16" s="1116">
        <f t="shared" si="6"/>
        <v>0</v>
      </c>
    </row>
    <row r="17" spans="1:13" ht="12.75">
      <c r="A17" s="124">
        <v>12</v>
      </c>
      <c r="B17" s="124" t="s">
        <v>512</v>
      </c>
      <c r="C17" s="761">
        <f>'[18]1_MFP &amp; Funded Membership'!$U20</f>
        <v>1289</v>
      </c>
      <c r="D17" s="761">
        <f>'[24]1_MFP &amp; Funded Membership'!U20</f>
        <v>1289</v>
      </c>
      <c r="E17" s="1039">
        <f t="shared" si="1"/>
        <v>0</v>
      </c>
      <c r="F17" s="269">
        <f t="shared" si="2"/>
        <v>0</v>
      </c>
      <c r="G17" s="1209">
        <f t="shared" si="3"/>
        <v>0</v>
      </c>
      <c r="H17" s="1076">
        <f>'Table 3 Levels 1&amp;2'!AL19</f>
        <v>3234.536438671768</v>
      </c>
      <c r="I17" s="1091">
        <f>'Table 4 Level 3'!W17+'Table 4 Level 3'!AA17</f>
        <v>425.24</v>
      </c>
      <c r="J17" s="1076">
        <f>'Table 4 Level 3'!AE17</f>
        <v>173.8</v>
      </c>
      <c r="K17" s="1076">
        <f t="shared" si="4"/>
        <v>3833.5764386717683</v>
      </c>
      <c r="L17" s="1076">
        <f t="shared" si="5"/>
        <v>1916.7882193358842</v>
      </c>
      <c r="M17" s="1116">
        <f t="shared" si="6"/>
        <v>0</v>
      </c>
    </row>
    <row r="18" spans="1:13" ht="12.75">
      <c r="A18" s="124">
        <v>13</v>
      </c>
      <c r="B18" s="124" t="s">
        <v>513</v>
      </c>
      <c r="C18" s="762">
        <f>'[18]1_MFP &amp; Funded Membership'!$U21</f>
        <v>1579</v>
      </c>
      <c r="D18" s="762">
        <f>'[24]1_MFP &amp; Funded Membership'!U21</f>
        <v>1553</v>
      </c>
      <c r="E18" s="1039">
        <f t="shared" si="1"/>
        <v>-26</v>
      </c>
      <c r="F18" s="269">
        <f t="shared" si="2"/>
        <v>-0.016466117796073463</v>
      </c>
      <c r="G18" s="1209">
        <f t="shared" si="3"/>
        <v>0</v>
      </c>
      <c r="H18" s="477">
        <f>'Table 3 Levels 1&amp;2'!AL20</f>
        <v>5880.671915746427</v>
      </c>
      <c r="I18" s="1092">
        <f>'Table 4 Level 3'!W18+'Table 4 Level 3'!AA18</f>
        <v>352.84</v>
      </c>
      <c r="J18" s="477">
        <f>'Table 4 Level 3'!AE18</f>
        <v>89.23</v>
      </c>
      <c r="K18" s="477">
        <f t="shared" si="4"/>
        <v>6322.7419157464265</v>
      </c>
      <c r="L18" s="477">
        <f t="shared" si="5"/>
        <v>3161.3709578732132</v>
      </c>
      <c r="M18" s="1116">
        <f t="shared" si="6"/>
        <v>0</v>
      </c>
    </row>
    <row r="19" spans="1:13" ht="12.75">
      <c r="A19" s="124">
        <v>14</v>
      </c>
      <c r="B19" s="124" t="s">
        <v>514</v>
      </c>
      <c r="C19" s="762">
        <f>'[18]1_MFP &amp; Funded Membership'!$U22</f>
        <v>2115</v>
      </c>
      <c r="D19" s="762">
        <f>'[24]1_MFP &amp; Funded Membership'!U22</f>
        <v>2121</v>
      </c>
      <c r="E19" s="1039">
        <f t="shared" si="1"/>
        <v>6</v>
      </c>
      <c r="F19" s="269">
        <f t="shared" si="2"/>
        <v>0.0028368794326241137</v>
      </c>
      <c r="G19" s="1209">
        <f t="shared" si="3"/>
        <v>0</v>
      </c>
      <c r="H19" s="477">
        <f>'Table 3 Levels 1&amp;2'!AL21</f>
        <v>6291.680990707252</v>
      </c>
      <c r="I19" s="1092">
        <f>'Table 4 Level 3'!W19+'Table 4 Level 3'!AA19</f>
        <v>367.95000000000005</v>
      </c>
      <c r="J19" s="477">
        <f>'Table 4 Level 3'!AE19</f>
        <v>96.16</v>
      </c>
      <c r="K19" s="477">
        <f t="shared" si="4"/>
        <v>6755.790990707252</v>
      </c>
      <c r="L19" s="477">
        <f t="shared" si="5"/>
        <v>3377.895495353626</v>
      </c>
      <c r="M19" s="1116">
        <f t="shared" si="6"/>
        <v>0</v>
      </c>
    </row>
    <row r="20" spans="1:13" ht="12.75">
      <c r="A20" s="125">
        <v>15</v>
      </c>
      <c r="B20" s="125" t="s">
        <v>515</v>
      </c>
      <c r="C20" s="763">
        <f>'[18]1_MFP &amp; Funded Membership'!$U23</f>
        <v>3738</v>
      </c>
      <c r="D20" s="763">
        <f>'[24]1_MFP &amp; Funded Membership'!U23</f>
        <v>3698</v>
      </c>
      <c r="E20" s="1040">
        <f t="shared" si="1"/>
        <v>-40</v>
      </c>
      <c r="F20" s="270">
        <f t="shared" si="2"/>
        <v>-0.010700909577314071</v>
      </c>
      <c r="G20" s="1210">
        <f t="shared" si="3"/>
        <v>0</v>
      </c>
      <c r="H20" s="1077">
        <f>'Table 3 Levels 1&amp;2'!AL22</f>
        <v>5604.46120664992</v>
      </c>
      <c r="I20" s="1093">
        <f>'Table 4 Level 3'!W20+'Table 4 Level 3'!AA20</f>
        <v>328.58</v>
      </c>
      <c r="J20" s="1077">
        <f>'Table 4 Level 3'!AE20</f>
        <v>0</v>
      </c>
      <c r="K20" s="1077">
        <f t="shared" si="4"/>
        <v>5933.04120664992</v>
      </c>
      <c r="L20" s="1077">
        <f t="shared" si="5"/>
        <v>2966.52060332496</v>
      </c>
      <c r="M20" s="1117">
        <f t="shared" si="6"/>
        <v>0</v>
      </c>
    </row>
    <row r="21" spans="1:13" ht="12.75">
      <c r="A21" s="124">
        <v>16</v>
      </c>
      <c r="B21" s="124" t="s">
        <v>516</v>
      </c>
      <c r="C21" s="761">
        <f>'[18]1_MFP &amp; Funded Membership'!$U24</f>
        <v>4606</v>
      </c>
      <c r="D21" s="761">
        <f>'[24]1_MFP &amp; Funded Membership'!U24</f>
        <v>4615</v>
      </c>
      <c r="E21" s="1039">
        <f t="shared" si="1"/>
        <v>9</v>
      </c>
      <c r="F21" s="269">
        <f t="shared" si="2"/>
        <v>0.0019539730785931393</v>
      </c>
      <c r="G21" s="1209">
        <f t="shared" si="3"/>
        <v>0</v>
      </c>
      <c r="H21" s="1076">
        <f>'Table 3 Levels 1&amp;2'!AL23</f>
        <v>4520.609922410807</v>
      </c>
      <c r="I21" s="1091">
        <f>'Table 4 Level 3'!W21+'Table 4 Level 3'!AA21</f>
        <v>339.33</v>
      </c>
      <c r="J21" s="1076">
        <f>'Table 4 Level 3'!AE21</f>
        <v>110.58</v>
      </c>
      <c r="K21" s="1076">
        <f t="shared" si="4"/>
        <v>4970.519922410806</v>
      </c>
      <c r="L21" s="1076">
        <f t="shared" si="5"/>
        <v>2485.259961205403</v>
      </c>
      <c r="M21" s="1116">
        <f t="shared" si="6"/>
        <v>0</v>
      </c>
    </row>
    <row r="22" spans="1:13" ht="12.75">
      <c r="A22" s="124">
        <v>17</v>
      </c>
      <c r="B22" s="124" t="s">
        <v>517</v>
      </c>
      <c r="C22" s="762">
        <f>'[18]1_MFP &amp; Funded Membership'!$U25</f>
        <v>40674</v>
      </c>
      <c r="D22" s="762">
        <f>'[24]1_MFP &amp; Funded Membership'!U25</f>
        <v>40816</v>
      </c>
      <c r="E22" s="1039">
        <f t="shared" si="1"/>
        <v>142</v>
      </c>
      <c r="F22" s="269">
        <f t="shared" si="2"/>
        <v>0.0034911737227713035</v>
      </c>
      <c r="G22" s="1209">
        <f t="shared" si="3"/>
        <v>142</v>
      </c>
      <c r="H22" s="477">
        <f>'Table 3 Levels 1&amp;2'!AL24</f>
        <v>3632.310699762789</v>
      </c>
      <c r="I22" s="1092">
        <f>'Table 4 Level 3'!W22+'Table 4 Level 3'!AA22</f>
        <v>309.24</v>
      </c>
      <c r="J22" s="1106">
        <f>'Table 5B2_RSD_LA'!M7</f>
        <v>113.10762416806803</v>
      </c>
      <c r="K22" s="477">
        <f t="shared" si="4"/>
        <v>4054.658323930857</v>
      </c>
      <c r="L22" s="477">
        <f t="shared" si="5"/>
        <v>2027.3291619654285</v>
      </c>
      <c r="M22" s="1116">
        <f t="shared" si="6"/>
        <v>287880.74099909083</v>
      </c>
    </row>
    <row r="23" spans="1:13" ht="12.75">
      <c r="A23" s="124">
        <v>18</v>
      </c>
      <c r="B23" s="124" t="s">
        <v>518</v>
      </c>
      <c r="C23" s="762">
        <f>'[18]1_MFP &amp; Funded Membership'!$U26</f>
        <v>1255</v>
      </c>
      <c r="D23" s="762">
        <f>'[24]1_MFP &amp; Funded Membership'!U26</f>
        <v>1266</v>
      </c>
      <c r="E23" s="1039">
        <f t="shared" si="1"/>
        <v>11</v>
      </c>
      <c r="F23" s="269">
        <f t="shared" si="2"/>
        <v>0.008764940239043825</v>
      </c>
      <c r="G23" s="1209">
        <f t="shared" si="3"/>
        <v>0</v>
      </c>
      <c r="H23" s="477">
        <f>'Table 3 Levels 1&amp;2'!AL25</f>
        <v>6185.4315580347165</v>
      </c>
      <c r="I23" s="1092">
        <f>'Table 4 Level 3'!W23+'Table 4 Level 3'!AA23</f>
        <v>401.42</v>
      </c>
      <c r="J23" s="477">
        <f>'Table 4 Level 3'!AE23</f>
        <v>114.04</v>
      </c>
      <c r="K23" s="477">
        <f t="shared" si="4"/>
        <v>6700.891558034717</v>
      </c>
      <c r="L23" s="477">
        <f t="shared" si="5"/>
        <v>3350.4457790173583</v>
      </c>
      <c r="M23" s="1116">
        <f t="shared" si="6"/>
        <v>0</v>
      </c>
    </row>
    <row r="24" spans="1:13" ht="12.75">
      <c r="A24" s="124">
        <v>19</v>
      </c>
      <c r="B24" s="124" t="s">
        <v>519</v>
      </c>
      <c r="C24" s="762">
        <f>'[18]1_MFP &amp; Funded Membership'!$U27</f>
        <v>2056</v>
      </c>
      <c r="D24" s="762">
        <f>'[24]1_MFP &amp; Funded Membership'!U27</f>
        <v>2021</v>
      </c>
      <c r="E24" s="1039">
        <f t="shared" si="1"/>
        <v>-35</v>
      </c>
      <c r="F24" s="269">
        <f t="shared" si="2"/>
        <v>-0.017023346303501944</v>
      </c>
      <c r="G24" s="1209">
        <f t="shared" si="3"/>
        <v>0</v>
      </c>
      <c r="H24" s="477">
        <f>'Table 3 Levels 1&amp;2'!AL26</f>
        <v>5724.912987737018</v>
      </c>
      <c r="I24" s="1092">
        <f>'Table 4 Level 3'!W24+'Table 4 Level 3'!AA24</f>
        <v>375.53000000000003</v>
      </c>
      <c r="J24" s="477">
        <f>'Table 4 Level 3'!AE24</f>
        <v>117.05</v>
      </c>
      <c r="K24" s="477">
        <f t="shared" si="4"/>
        <v>6217.492987737018</v>
      </c>
      <c r="L24" s="477">
        <f t="shared" si="5"/>
        <v>3108.746493868509</v>
      </c>
      <c r="M24" s="1116">
        <f t="shared" si="6"/>
        <v>0</v>
      </c>
    </row>
    <row r="25" spans="1:13" ht="12.75">
      <c r="A25" s="125">
        <v>20</v>
      </c>
      <c r="B25" s="125" t="s">
        <v>520</v>
      </c>
      <c r="C25" s="763">
        <f>'[18]1_MFP &amp; Funded Membership'!$U28</f>
        <v>5757</v>
      </c>
      <c r="D25" s="763">
        <f>'[24]1_MFP &amp; Funded Membership'!U28</f>
        <v>5722</v>
      </c>
      <c r="E25" s="1040">
        <f t="shared" si="1"/>
        <v>-35</v>
      </c>
      <c r="F25" s="270">
        <f t="shared" si="2"/>
        <v>-0.006079555323953448</v>
      </c>
      <c r="G25" s="1210">
        <f t="shared" si="3"/>
        <v>0</v>
      </c>
      <c r="H25" s="1077">
        <f>'Table 3 Levels 1&amp;2'!AL27</f>
        <v>5744.1678276110815</v>
      </c>
      <c r="I25" s="1093">
        <f>'Table 4 Level 3'!W25+'Table 4 Level 3'!AA25</f>
        <v>332.29999999999995</v>
      </c>
      <c r="J25" s="1077">
        <f>'Table 4 Level 3'!AE25</f>
        <v>34.25</v>
      </c>
      <c r="K25" s="1077">
        <f t="shared" si="4"/>
        <v>6110.717827611082</v>
      </c>
      <c r="L25" s="1077">
        <f t="shared" si="5"/>
        <v>3055.358913805541</v>
      </c>
      <c r="M25" s="1117">
        <f t="shared" si="6"/>
        <v>0</v>
      </c>
    </row>
    <row r="26" spans="1:13" ht="12.75">
      <c r="A26" s="124">
        <v>21</v>
      </c>
      <c r="B26" s="124" t="s">
        <v>521</v>
      </c>
      <c r="C26" s="761">
        <f>'[18]1_MFP &amp; Funded Membership'!$U29</f>
        <v>2950</v>
      </c>
      <c r="D26" s="761">
        <f>'[24]1_MFP &amp; Funded Membership'!U29</f>
        <v>2926</v>
      </c>
      <c r="E26" s="1039">
        <f t="shared" si="1"/>
        <v>-24</v>
      </c>
      <c r="F26" s="269">
        <f t="shared" si="2"/>
        <v>-0.008135593220338983</v>
      </c>
      <c r="G26" s="1209">
        <f t="shared" si="3"/>
        <v>0</v>
      </c>
      <c r="H26" s="1076">
        <f>'Table 3 Levels 1&amp;2'!AL28</f>
        <v>5822.361010099235</v>
      </c>
      <c r="I26" s="1091">
        <f>'Table 4 Level 3'!W26+'Table 4 Level 3'!AA26</f>
        <v>308</v>
      </c>
      <c r="J26" s="1076">
        <f>'Table 4 Level 3'!AE26</f>
        <v>8.82</v>
      </c>
      <c r="K26" s="1076">
        <f t="shared" si="4"/>
        <v>6139.181010099234</v>
      </c>
      <c r="L26" s="1076">
        <f t="shared" si="5"/>
        <v>3069.590505049617</v>
      </c>
      <c r="M26" s="1116">
        <f t="shared" si="6"/>
        <v>0</v>
      </c>
    </row>
    <row r="27" spans="1:13" ht="12.75">
      <c r="A27" s="124">
        <v>22</v>
      </c>
      <c r="B27" s="124" t="s">
        <v>522</v>
      </c>
      <c r="C27" s="761">
        <f>'[18]1_MFP &amp; Funded Membership'!$U30</f>
        <v>3344</v>
      </c>
      <c r="D27" s="761">
        <f>'[24]1_MFP &amp; Funded Membership'!U30</f>
        <v>3342</v>
      </c>
      <c r="E27" s="1039">
        <f t="shared" si="1"/>
        <v>-2</v>
      </c>
      <c r="F27" s="269">
        <f t="shared" si="2"/>
        <v>-0.0005980861244019139</v>
      </c>
      <c r="G27" s="1209">
        <f t="shared" si="3"/>
        <v>0</v>
      </c>
      <c r="H27" s="1076">
        <f>'Table 3 Levels 1&amp;2'!AL29</f>
        <v>5972.512487148936</v>
      </c>
      <c r="I27" s="1091">
        <f>'Table 4 Level 3'!W27+'Table 4 Level 3'!AA27</f>
        <v>291.88</v>
      </c>
      <c r="J27" s="1076">
        <f>'Table 4 Level 3'!AE27</f>
        <v>0</v>
      </c>
      <c r="K27" s="1076">
        <f t="shared" si="4"/>
        <v>6264.392487148936</v>
      </c>
      <c r="L27" s="1076">
        <f t="shared" si="5"/>
        <v>3132.196243574468</v>
      </c>
      <c r="M27" s="1116">
        <f t="shared" si="6"/>
        <v>0</v>
      </c>
    </row>
    <row r="28" spans="1:13" ht="12.75">
      <c r="A28" s="124">
        <v>23</v>
      </c>
      <c r="B28" s="124" t="s">
        <v>523</v>
      </c>
      <c r="C28" s="762">
        <f>'[18]1_MFP &amp; Funded Membership'!$U31</f>
        <v>13346</v>
      </c>
      <c r="D28" s="762">
        <f>'[24]1_MFP &amp; Funded Membership'!U31</f>
        <v>13168</v>
      </c>
      <c r="E28" s="1039">
        <f t="shared" si="1"/>
        <v>-178</v>
      </c>
      <c r="F28" s="269">
        <f t="shared" si="2"/>
        <v>-0.013337329536939908</v>
      </c>
      <c r="G28" s="1209">
        <f t="shared" si="3"/>
        <v>0</v>
      </c>
      <c r="H28" s="477">
        <f>'Table 3 Levels 1&amp;2'!AL30</f>
        <v>5119.868537911947</v>
      </c>
      <c r="I28" s="1092">
        <f>'Table 4 Level 3'!W28+'Table 4 Level 3'!AA28</f>
        <v>314.81</v>
      </c>
      <c r="J28" s="477">
        <f>'Table 4 Level 3'!AE28</f>
        <v>108.45</v>
      </c>
      <c r="K28" s="477">
        <f t="shared" si="4"/>
        <v>5543.128537911947</v>
      </c>
      <c r="L28" s="477">
        <f t="shared" si="5"/>
        <v>2771.5642689559736</v>
      </c>
      <c r="M28" s="1116">
        <f t="shared" si="6"/>
        <v>0</v>
      </c>
    </row>
    <row r="29" spans="1:13" ht="12.75">
      <c r="A29" s="124">
        <v>24</v>
      </c>
      <c r="B29" s="124" t="s">
        <v>524</v>
      </c>
      <c r="C29" s="762">
        <f>'[18]1_MFP &amp; Funded Membership'!$U32</f>
        <v>3998</v>
      </c>
      <c r="D29" s="762">
        <f>'[24]1_MFP &amp; Funded Membership'!U32</f>
        <v>4025</v>
      </c>
      <c r="E29" s="1039">
        <f t="shared" si="1"/>
        <v>27</v>
      </c>
      <c r="F29" s="269">
        <f t="shared" si="2"/>
        <v>0.006753376688344172</v>
      </c>
      <c r="G29" s="1209">
        <f t="shared" si="3"/>
        <v>0</v>
      </c>
      <c r="H29" s="477">
        <f>'Table 3 Levels 1&amp;2'!AL31</f>
        <v>3413.3128775066443</v>
      </c>
      <c r="I29" s="1092">
        <f>'Table 4 Level 3'!W29+'Table 4 Level 3'!AA29</f>
        <v>338.01</v>
      </c>
      <c r="J29" s="477">
        <f>'Table 4 Level 3'!AE29</f>
        <v>122.66</v>
      </c>
      <c r="K29" s="477">
        <f t="shared" si="4"/>
        <v>3873.9828775066444</v>
      </c>
      <c r="L29" s="477">
        <f t="shared" si="5"/>
        <v>1936.9914387533222</v>
      </c>
      <c r="M29" s="1116">
        <f t="shared" si="6"/>
        <v>0</v>
      </c>
    </row>
    <row r="30" spans="1:13" ht="12.75">
      <c r="A30" s="125">
        <v>25</v>
      </c>
      <c r="B30" s="125" t="s">
        <v>525</v>
      </c>
      <c r="C30" s="763">
        <f>'[18]1_MFP &amp; Funded Membership'!$U33</f>
        <v>2223</v>
      </c>
      <c r="D30" s="763">
        <f>'[24]1_MFP &amp; Funded Membership'!U33</f>
        <v>2225</v>
      </c>
      <c r="E30" s="1040">
        <f t="shared" si="1"/>
        <v>2</v>
      </c>
      <c r="F30" s="270">
        <f t="shared" si="2"/>
        <v>0.000899685110211426</v>
      </c>
      <c r="G30" s="1210">
        <f t="shared" si="3"/>
        <v>0</v>
      </c>
      <c r="H30" s="1077">
        <f>'Table 3 Levels 1&amp;2'!AL32</f>
        <v>4195.016786192701</v>
      </c>
      <c r="I30" s="1093">
        <f>'Table 4 Level 3'!W30+'Table 4 Level 3'!AA30</f>
        <v>325.13</v>
      </c>
      <c r="J30" s="1077">
        <f>'Table 4 Level 3'!AE30</f>
        <v>103.1</v>
      </c>
      <c r="K30" s="1077">
        <f t="shared" si="4"/>
        <v>4623.246786192702</v>
      </c>
      <c r="L30" s="1077">
        <f t="shared" si="5"/>
        <v>2311.623393096351</v>
      </c>
      <c r="M30" s="1117">
        <f t="shared" si="6"/>
        <v>0</v>
      </c>
    </row>
    <row r="31" spans="1:13" ht="12.75">
      <c r="A31" s="124">
        <v>26</v>
      </c>
      <c r="B31" s="124" t="s">
        <v>526</v>
      </c>
      <c r="C31" s="761">
        <f>'[18]1_MFP &amp; Funded Membership'!$U34</f>
        <v>42795</v>
      </c>
      <c r="D31" s="761">
        <f>'[24]1_MFP &amp; Funded Membership'!U34</f>
        <v>42472</v>
      </c>
      <c r="E31" s="1039">
        <f t="shared" si="1"/>
        <v>-323</v>
      </c>
      <c r="F31" s="269">
        <f t="shared" si="2"/>
        <v>-0.007547610702184834</v>
      </c>
      <c r="G31" s="1209">
        <f t="shared" si="3"/>
        <v>0</v>
      </c>
      <c r="H31" s="1076">
        <f>'Table 3 Levels 1&amp;2'!AL33</f>
        <v>3254.1488394352714</v>
      </c>
      <c r="I31" s="1091">
        <f>'Table 4 Level 3'!W31+'Table 4 Level 3'!AA31</f>
        <v>339.41</v>
      </c>
      <c r="J31" s="1076">
        <f>'Table 4 Level 3'!AE31</f>
        <v>112.42</v>
      </c>
      <c r="K31" s="1076">
        <f t="shared" si="4"/>
        <v>3705.9788394352713</v>
      </c>
      <c r="L31" s="1076">
        <f t="shared" si="5"/>
        <v>1852.9894197176357</v>
      </c>
      <c r="M31" s="1116">
        <f t="shared" si="6"/>
        <v>0</v>
      </c>
    </row>
    <row r="32" spans="1:13" ht="12.75">
      <c r="A32" s="124">
        <v>27</v>
      </c>
      <c r="B32" s="124" t="s">
        <v>527</v>
      </c>
      <c r="C32" s="761">
        <f>'[18]1_MFP &amp; Funded Membership'!$U35</f>
        <v>5645</v>
      </c>
      <c r="D32" s="761">
        <f>'[24]1_MFP &amp; Funded Membership'!U35</f>
        <v>5654</v>
      </c>
      <c r="E32" s="1039">
        <f t="shared" si="1"/>
        <v>9</v>
      </c>
      <c r="F32" s="269">
        <f t="shared" si="2"/>
        <v>0.0015943312666076173</v>
      </c>
      <c r="G32" s="1209">
        <f t="shared" si="3"/>
        <v>0</v>
      </c>
      <c r="H32" s="1076">
        <f>'Table 3 Levels 1&amp;2'!AL34</f>
        <v>5939.418833572454</v>
      </c>
      <c r="I32" s="1091">
        <f>'Table 4 Level 3'!W32+'Table 4 Level 3'!AA32</f>
        <v>313.22</v>
      </c>
      <c r="J32" s="1076">
        <f>'Table 4 Level 3'!AE32</f>
        <v>103.43</v>
      </c>
      <c r="K32" s="1076">
        <f t="shared" si="4"/>
        <v>6356.068833572454</v>
      </c>
      <c r="L32" s="1076">
        <f t="shared" si="5"/>
        <v>3178.034416786227</v>
      </c>
      <c r="M32" s="1116">
        <f t="shared" si="6"/>
        <v>0</v>
      </c>
    </row>
    <row r="33" spans="1:13" ht="12.75">
      <c r="A33" s="124">
        <v>28</v>
      </c>
      <c r="B33" s="124" t="s">
        <v>528</v>
      </c>
      <c r="C33" s="762">
        <f>'[18]1_MFP &amp; Funded Membership'!$U36</f>
        <v>29314</v>
      </c>
      <c r="D33" s="762">
        <f>'[24]1_MFP &amp; Funded Membership'!U36</f>
        <v>29043</v>
      </c>
      <c r="E33" s="1039">
        <f t="shared" si="1"/>
        <v>-271</v>
      </c>
      <c r="F33" s="269">
        <f t="shared" si="2"/>
        <v>-0.00924472948079416</v>
      </c>
      <c r="G33" s="1209">
        <f t="shared" si="3"/>
        <v>0</v>
      </c>
      <c r="H33" s="477">
        <f>'Table 3 Levels 1&amp;2'!AL35</f>
        <v>3577.226796551503</v>
      </c>
      <c r="I33" s="1092">
        <f>'Table 4 Level 3'!W33+'Table 4 Level 3'!AA33</f>
        <v>314.49</v>
      </c>
      <c r="J33" s="477">
        <f>'Table 4 Level 3'!AE33</f>
        <v>107.4</v>
      </c>
      <c r="K33" s="477">
        <f t="shared" si="4"/>
        <v>3999.116796551503</v>
      </c>
      <c r="L33" s="477">
        <f t="shared" si="5"/>
        <v>1999.5583982757514</v>
      </c>
      <c r="M33" s="1116">
        <f t="shared" si="6"/>
        <v>0</v>
      </c>
    </row>
    <row r="34" spans="1:13" ht="12.75">
      <c r="A34" s="124">
        <v>29</v>
      </c>
      <c r="B34" s="124" t="s">
        <v>529</v>
      </c>
      <c r="C34" s="762">
        <f>'[18]1_MFP &amp; Funded Membership'!$U37</f>
        <v>13775</v>
      </c>
      <c r="D34" s="762">
        <f>'[24]1_MFP &amp; Funded Membership'!U37</f>
        <v>13649</v>
      </c>
      <c r="E34" s="1039">
        <f t="shared" si="1"/>
        <v>-126</v>
      </c>
      <c r="F34" s="269">
        <f t="shared" si="2"/>
        <v>-0.009147005444646097</v>
      </c>
      <c r="G34" s="1209">
        <f t="shared" si="3"/>
        <v>0</v>
      </c>
      <c r="H34" s="477">
        <f>'Table 3 Levels 1&amp;2'!AL36</f>
        <v>4634.658656239229</v>
      </c>
      <c r="I34" s="1092">
        <f>'Table 4 Level 3'!W34+'Table 4 Level 3'!AA34</f>
        <v>344.7</v>
      </c>
      <c r="J34" s="477">
        <f>'Table 4 Level 3'!AE34</f>
        <v>112.48</v>
      </c>
      <c r="K34" s="477">
        <f t="shared" si="4"/>
        <v>5091.838656239228</v>
      </c>
      <c r="L34" s="477">
        <f t="shared" si="5"/>
        <v>2545.919328119614</v>
      </c>
      <c r="M34" s="1116">
        <f t="shared" si="6"/>
        <v>0</v>
      </c>
    </row>
    <row r="35" spans="1:13" ht="12.75">
      <c r="A35" s="125">
        <v>30</v>
      </c>
      <c r="B35" s="125" t="s">
        <v>530</v>
      </c>
      <c r="C35" s="763">
        <f>'[18]1_MFP &amp; Funded Membership'!$U38</f>
        <v>2441</v>
      </c>
      <c r="D35" s="763">
        <f>'[24]1_MFP &amp; Funded Membership'!U38</f>
        <v>2458</v>
      </c>
      <c r="E35" s="1040">
        <f t="shared" si="1"/>
        <v>17</v>
      </c>
      <c r="F35" s="270">
        <f t="shared" si="2"/>
        <v>0.006964358869315854</v>
      </c>
      <c r="G35" s="1210">
        <f t="shared" si="3"/>
        <v>0</v>
      </c>
      <c r="H35" s="1077">
        <f>'Table 3 Levels 1&amp;2'!AL37</f>
        <v>5751.546975718981</v>
      </c>
      <c r="I35" s="1093">
        <f>'Table 4 Level 3'!W35+'Table 4 Level 3'!AA35</f>
        <v>337.59</v>
      </c>
      <c r="J35" s="1077">
        <f>'Table 4 Level 3'!AE35</f>
        <v>107.28</v>
      </c>
      <c r="K35" s="1077">
        <f t="shared" si="4"/>
        <v>6196.416975718981</v>
      </c>
      <c r="L35" s="1077">
        <f t="shared" si="5"/>
        <v>3098.2084878594906</v>
      </c>
      <c r="M35" s="1117">
        <f t="shared" si="6"/>
        <v>0</v>
      </c>
    </row>
    <row r="36" spans="1:13" ht="12.75">
      <c r="A36" s="124">
        <v>31</v>
      </c>
      <c r="B36" s="124" t="s">
        <v>531</v>
      </c>
      <c r="C36" s="761">
        <f>'[18]1_MFP &amp; Funded Membership'!$U39</f>
        <v>6462</v>
      </c>
      <c r="D36" s="761">
        <f>'[24]1_MFP &amp; Funded Membership'!U39</f>
        <v>6409</v>
      </c>
      <c r="E36" s="1039">
        <f t="shared" si="1"/>
        <v>-53</v>
      </c>
      <c r="F36" s="269">
        <f t="shared" si="2"/>
        <v>-0.008201795109873105</v>
      </c>
      <c r="G36" s="1209">
        <f t="shared" si="3"/>
        <v>0</v>
      </c>
      <c r="H36" s="1076">
        <f>'Table 3 Levels 1&amp;2'!AL38</f>
        <v>4408.662903497111</v>
      </c>
      <c r="I36" s="1091">
        <f>'Table 4 Level 3'!W36+'Table 4 Level 3'!AA36</f>
        <v>310.35</v>
      </c>
      <c r="J36" s="1076">
        <f>'Table 4 Level 3'!AE36</f>
        <v>108.23</v>
      </c>
      <c r="K36" s="1076">
        <f t="shared" si="4"/>
        <v>4827.242903497111</v>
      </c>
      <c r="L36" s="1076">
        <f t="shared" si="5"/>
        <v>2413.6214517485555</v>
      </c>
      <c r="M36" s="1116">
        <f t="shared" si="6"/>
        <v>0</v>
      </c>
    </row>
    <row r="37" spans="1:13" ht="12.75">
      <c r="A37" s="124">
        <v>32</v>
      </c>
      <c r="B37" s="124" t="s">
        <v>532</v>
      </c>
      <c r="C37" s="761">
        <f>'[18]1_MFP &amp; Funded Membership'!$U40</f>
        <v>23920</v>
      </c>
      <c r="D37" s="761">
        <f>'[24]1_MFP &amp; Funded Membership'!U40</f>
        <v>23757</v>
      </c>
      <c r="E37" s="1039">
        <f t="shared" si="1"/>
        <v>-163</v>
      </c>
      <c r="F37" s="269">
        <f t="shared" si="2"/>
        <v>-0.00681438127090301</v>
      </c>
      <c r="G37" s="1209">
        <f t="shared" si="3"/>
        <v>0</v>
      </c>
      <c r="H37" s="1076">
        <f>'Table 3 Levels 1&amp;2'!AL39</f>
        <v>5616.641812814488</v>
      </c>
      <c r="I37" s="1091">
        <f>'Table 4 Level 3'!W37+'Table 4 Level 3'!AA37</f>
        <v>278.99</v>
      </c>
      <c r="J37" s="1076">
        <f>'Table 4 Level 3'!AE37</f>
        <v>96.61</v>
      </c>
      <c r="K37" s="1076">
        <f t="shared" si="4"/>
        <v>5992.241812814487</v>
      </c>
      <c r="L37" s="1076">
        <f t="shared" si="5"/>
        <v>2996.1209064072436</v>
      </c>
      <c r="M37" s="1116">
        <f t="shared" si="6"/>
        <v>0</v>
      </c>
    </row>
    <row r="38" spans="1:13" ht="12.75">
      <c r="A38" s="124">
        <v>33</v>
      </c>
      <c r="B38" s="124" t="s">
        <v>533</v>
      </c>
      <c r="C38" s="762">
        <f>'[18]1_MFP &amp; Funded Membership'!$U41</f>
        <v>1867</v>
      </c>
      <c r="D38" s="762">
        <f>'[24]1_MFP &amp; Funded Membership'!U41</f>
        <v>1856</v>
      </c>
      <c r="E38" s="1039">
        <f t="shared" si="1"/>
        <v>-11</v>
      </c>
      <c r="F38" s="269">
        <f t="shared" si="2"/>
        <v>-0.0058918050348152114</v>
      </c>
      <c r="G38" s="1209">
        <f t="shared" si="3"/>
        <v>0</v>
      </c>
      <c r="H38" s="477">
        <f>'Table 3 Levels 1&amp;2'!AL40</f>
        <v>7019.993943587334</v>
      </c>
      <c r="I38" s="1092">
        <f>'Table 4 Level 3'!W38+'Table 4 Level 3'!AA38</f>
        <v>285.59</v>
      </c>
      <c r="J38" s="477">
        <f>'Table 4 Level 3'!AE38</f>
        <v>0</v>
      </c>
      <c r="K38" s="477">
        <f t="shared" si="4"/>
        <v>7305.583943587334</v>
      </c>
      <c r="L38" s="477">
        <f t="shared" si="5"/>
        <v>3652.791971793667</v>
      </c>
      <c r="M38" s="1116">
        <f t="shared" si="6"/>
        <v>0</v>
      </c>
    </row>
    <row r="39" spans="1:13" ht="12.75">
      <c r="A39" s="124">
        <v>34</v>
      </c>
      <c r="B39" s="124" t="s">
        <v>534</v>
      </c>
      <c r="C39" s="762">
        <f>'[18]1_MFP &amp; Funded Membership'!$U42</f>
        <v>4608</v>
      </c>
      <c r="D39" s="762">
        <f>'[24]1_MFP &amp; Funded Membership'!U42</f>
        <v>4605</v>
      </c>
      <c r="E39" s="1039">
        <f t="shared" si="1"/>
        <v>-3</v>
      </c>
      <c r="F39" s="269">
        <f t="shared" si="2"/>
        <v>-0.0006510416666666666</v>
      </c>
      <c r="G39" s="1209">
        <f t="shared" si="3"/>
        <v>0</v>
      </c>
      <c r="H39" s="477">
        <f>'Table 3 Levels 1&amp;2'!AL41</f>
        <v>6265.844436992482</v>
      </c>
      <c r="I39" s="1092">
        <f>'Table 4 Level 3'!W39+'Table 4 Level 3'!AA39</f>
        <v>316.09000000000003</v>
      </c>
      <c r="J39" s="477">
        <f>'Table 4 Level 3'!AE39</f>
        <v>20.69</v>
      </c>
      <c r="K39" s="477">
        <f t="shared" si="4"/>
        <v>6602.624436992482</v>
      </c>
      <c r="L39" s="477">
        <f t="shared" si="5"/>
        <v>3301.312218496241</v>
      </c>
      <c r="M39" s="1116">
        <f t="shared" si="6"/>
        <v>0</v>
      </c>
    </row>
    <row r="40" spans="1:13" ht="12.75">
      <c r="A40" s="125">
        <v>35</v>
      </c>
      <c r="B40" s="125" t="s">
        <v>535</v>
      </c>
      <c r="C40" s="763">
        <f>'[18]1_MFP &amp; Funded Membership'!$U43</f>
        <v>6439</v>
      </c>
      <c r="D40" s="763">
        <f>'[24]1_MFP &amp; Funded Membership'!U43</f>
        <v>6416</v>
      </c>
      <c r="E40" s="1040">
        <f t="shared" si="1"/>
        <v>-23</v>
      </c>
      <c r="F40" s="270">
        <f t="shared" si="2"/>
        <v>-0.003571983227209194</v>
      </c>
      <c r="G40" s="1210">
        <f t="shared" si="3"/>
        <v>0</v>
      </c>
      <c r="H40" s="1077">
        <f>'Table 3 Levels 1&amp;2'!AL42</f>
        <v>5200.567509811676</v>
      </c>
      <c r="I40" s="1093">
        <f>'Table 4 Level 3'!W40+'Table 4 Level 3'!AA40</f>
        <v>275.8</v>
      </c>
      <c r="J40" s="1077">
        <f>'Table 4 Level 3'!AE40</f>
        <v>19.36</v>
      </c>
      <c r="K40" s="1077">
        <f t="shared" si="4"/>
        <v>5495.727509811676</v>
      </c>
      <c r="L40" s="1077">
        <f t="shared" si="5"/>
        <v>2747.863754905838</v>
      </c>
      <c r="M40" s="1117">
        <f t="shared" si="6"/>
        <v>0</v>
      </c>
    </row>
    <row r="41" spans="1:13" ht="12.75">
      <c r="A41" s="124">
        <v>36</v>
      </c>
      <c r="B41" s="124" t="s">
        <v>489</v>
      </c>
      <c r="C41" s="762">
        <f>'[18]1_MFP &amp; Funded Membership'!$U44</f>
        <v>10079</v>
      </c>
      <c r="D41" s="762">
        <f>'[24]1_MFP &amp; Funded Membership'!U44</f>
        <v>10040</v>
      </c>
      <c r="E41" s="1039">
        <f t="shared" si="1"/>
        <v>-39</v>
      </c>
      <c r="F41" s="269">
        <f t="shared" si="2"/>
        <v>-0.003869431491219367</v>
      </c>
      <c r="G41" s="1209">
        <f t="shared" si="3"/>
        <v>0</v>
      </c>
      <c r="H41" s="477">
        <f>'Table 3 Levels 1&amp;2'!AL43</f>
        <v>3253.87339114165</v>
      </c>
      <c r="I41" s="1106">
        <f>'Table 5B1_RSD_Orleans'!H6+'Table 5B1_RSD_Orleans'!L6</f>
        <v>305.29857969489746</v>
      </c>
      <c r="J41" s="1106">
        <f>'Table 5B1_RSD_Orleans'!Q6</f>
        <v>109.57319774466372</v>
      </c>
      <c r="K41" s="477">
        <f t="shared" si="4"/>
        <v>3668.7451685812107</v>
      </c>
      <c r="L41" s="477">
        <f t="shared" si="5"/>
        <v>1834.3725842906053</v>
      </c>
      <c r="M41" s="1116">
        <f t="shared" si="6"/>
        <v>0</v>
      </c>
    </row>
    <row r="42" spans="1:13" ht="12.75">
      <c r="A42" s="124">
        <v>37</v>
      </c>
      <c r="B42" s="124" t="s">
        <v>536</v>
      </c>
      <c r="C42" s="761">
        <f>'[18]1_MFP &amp; Funded Membership'!$U45</f>
        <v>18881</v>
      </c>
      <c r="D42" s="761">
        <f>'[24]1_MFP &amp; Funded Membership'!U45</f>
        <v>18817</v>
      </c>
      <c r="E42" s="1039">
        <f t="shared" si="1"/>
        <v>-64</v>
      </c>
      <c r="F42" s="269">
        <f t="shared" si="2"/>
        <v>-0.0033896509718764896</v>
      </c>
      <c r="G42" s="1209">
        <f t="shared" si="3"/>
        <v>0</v>
      </c>
      <c r="H42" s="1076">
        <f>'Table 3 Levels 1&amp;2'!AL44</f>
        <v>5659.540885522947</v>
      </c>
      <c r="I42" s="1091">
        <f>'Table 4 Level 3'!W42+'Table 4 Level 3'!AA42</f>
        <v>331.71000000000004</v>
      </c>
      <c r="J42" s="1076">
        <f>'Table 4 Level 3'!AE42</f>
        <v>104.58</v>
      </c>
      <c r="K42" s="1076">
        <f t="shared" si="4"/>
        <v>6095.830885522947</v>
      </c>
      <c r="L42" s="1076">
        <f t="shared" si="5"/>
        <v>3047.9154427614735</v>
      </c>
      <c r="M42" s="1116">
        <f t="shared" si="6"/>
        <v>0</v>
      </c>
    </row>
    <row r="43" spans="1:13" ht="12.75">
      <c r="A43" s="124">
        <v>38</v>
      </c>
      <c r="B43" s="124" t="s">
        <v>537</v>
      </c>
      <c r="C43" s="762">
        <f>'[18]1_MFP &amp; Funded Membership'!$U46</f>
        <v>3649</v>
      </c>
      <c r="D43" s="762">
        <f>'[24]1_MFP &amp; Funded Membership'!U46</f>
        <v>3650</v>
      </c>
      <c r="E43" s="1039">
        <f t="shared" si="1"/>
        <v>1</v>
      </c>
      <c r="F43" s="269">
        <f t="shared" si="2"/>
        <v>0.0002740476842970677</v>
      </c>
      <c r="G43" s="1209">
        <f t="shared" si="3"/>
        <v>0</v>
      </c>
      <c r="H43" s="477">
        <f>'Table 3 Levels 1&amp;2'!AL45</f>
        <v>3052.6905039324206</v>
      </c>
      <c r="I43" s="1092">
        <f>'Table 4 Level 3'!W43+'Table 4 Level 3'!AA43</f>
        <v>390.2</v>
      </c>
      <c r="J43" s="477">
        <f>'Table 4 Level 3'!AE43</f>
        <v>117.93</v>
      </c>
      <c r="K43" s="477">
        <f t="shared" si="4"/>
        <v>3560.8205039324203</v>
      </c>
      <c r="L43" s="477">
        <f t="shared" si="5"/>
        <v>1780.4102519662101</v>
      </c>
      <c r="M43" s="1116">
        <f t="shared" si="6"/>
        <v>0</v>
      </c>
    </row>
    <row r="44" spans="1:13" ht="12.75">
      <c r="A44" s="124">
        <v>39</v>
      </c>
      <c r="B44" s="124" t="s">
        <v>538</v>
      </c>
      <c r="C44" s="762">
        <f>'[18]1_MFP &amp; Funded Membership'!$U47</f>
        <v>2487</v>
      </c>
      <c r="D44" s="762">
        <f>'[24]1_MFP &amp; Funded Membership'!U47</f>
        <v>2480</v>
      </c>
      <c r="E44" s="1039">
        <f t="shared" si="1"/>
        <v>-7</v>
      </c>
      <c r="F44" s="269">
        <f t="shared" si="2"/>
        <v>-0.0028146361077603537</v>
      </c>
      <c r="G44" s="1209">
        <f t="shared" si="3"/>
        <v>0</v>
      </c>
      <c r="H44" s="477">
        <f>'Table 3 Levels 1&amp;2'!AL46</f>
        <v>3980.6376294007673</v>
      </c>
      <c r="I44" s="1092">
        <f>'Table 4 Level 3'!W44+'Table 4 Level 3'!AA44</f>
        <v>323.63</v>
      </c>
      <c r="J44" s="1106">
        <f>'Table 5B2_RSD_LA'!M20</f>
        <v>109.60573042776433</v>
      </c>
      <c r="K44" s="477">
        <f t="shared" si="4"/>
        <v>4413.873359828532</v>
      </c>
      <c r="L44" s="477">
        <f t="shared" si="5"/>
        <v>2206.936679914266</v>
      </c>
      <c r="M44" s="1116">
        <f t="shared" si="6"/>
        <v>0</v>
      </c>
    </row>
    <row r="45" spans="1:13" ht="12.75">
      <c r="A45" s="125">
        <v>40</v>
      </c>
      <c r="B45" s="125" t="s">
        <v>539</v>
      </c>
      <c r="C45" s="763">
        <f>'[18]1_MFP &amp; Funded Membership'!$U48</f>
        <v>22861</v>
      </c>
      <c r="D45" s="763">
        <f>'[24]1_MFP &amp; Funded Membership'!U48</f>
        <v>22611</v>
      </c>
      <c r="E45" s="1040">
        <f t="shared" si="1"/>
        <v>-250</v>
      </c>
      <c r="F45" s="270">
        <f t="shared" si="2"/>
        <v>-0.010935654608284853</v>
      </c>
      <c r="G45" s="1210">
        <f t="shared" si="3"/>
        <v>0</v>
      </c>
      <c r="H45" s="1077">
        <f>'Table 3 Levels 1&amp;2'!AL47</f>
        <v>5022.045894991505</v>
      </c>
      <c r="I45" s="1093">
        <f>'Table 4 Level 3'!W45+'Table 4 Level 3'!AA45</f>
        <v>320.32</v>
      </c>
      <c r="J45" s="1077">
        <f>'Table 4 Level 3'!AE45</f>
        <v>0</v>
      </c>
      <c r="K45" s="1077">
        <f t="shared" si="4"/>
        <v>5342.365894991504</v>
      </c>
      <c r="L45" s="1077">
        <f t="shared" si="5"/>
        <v>2671.182947495752</v>
      </c>
      <c r="M45" s="1117">
        <f t="shared" si="6"/>
        <v>0</v>
      </c>
    </row>
    <row r="46" spans="1:13" ht="12.75">
      <c r="A46" s="124">
        <v>41</v>
      </c>
      <c r="B46" s="124" t="s">
        <v>540</v>
      </c>
      <c r="C46" s="761">
        <f>'[18]1_MFP &amp; Funded Membership'!$U49</f>
        <v>1430</v>
      </c>
      <c r="D46" s="761">
        <f>'[24]1_MFP &amp; Funded Membership'!U49</f>
        <v>1396</v>
      </c>
      <c r="E46" s="1039">
        <f t="shared" si="1"/>
        <v>-34</v>
      </c>
      <c r="F46" s="269">
        <f t="shared" si="2"/>
        <v>-0.023776223776223775</v>
      </c>
      <c r="G46" s="1209">
        <f t="shared" si="3"/>
        <v>0</v>
      </c>
      <c r="H46" s="1076">
        <f>'Table 3 Levels 1&amp;2'!AL48</f>
        <v>6733.679948020364</v>
      </c>
      <c r="I46" s="1091">
        <f>'Table 4 Level 3'!W46+'Table 4 Level 3'!AA46</f>
        <v>383.56</v>
      </c>
      <c r="J46" s="1076">
        <f>'Table 4 Level 3'!AE46</f>
        <v>48.01</v>
      </c>
      <c r="K46" s="1076">
        <f t="shared" si="4"/>
        <v>7165.249948020364</v>
      </c>
      <c r="L46" s="1076">
        <f t="shared" si="5"/>
        <v>3582.624974010182</v>
      </c>
      <c r="M46" s="1116">
        <f t="shared" si="6"/>
        <v>0</v>
      </c>
    </row>
    <row r="47" spans="1:13" ht="12.75">
      <c r="A47" s="124">
        <v>42</v>
      </c>
      <c r="B47" s="124" t="s">
        <v>543</v>
      </c>
      <c r="C47" s="761">
        <f>'[18]1_MFP &amp; Funded Membership'!$U50</f>
        <v>3326</v>
      </c>
      <c r="D47" s="761">
        <f>'[24]1_MFP &amp; Funded Membership'!U50</f>
        <v>3289</v>
      </c>
      <c r="E47" s="1039">
        <f t="shared" si="1"/>
        <v>-37</v>
      </c>
      <c r="F47" s="269">
        <f t="shared" si="2"/>
        <v>-0.011124473842453398</v>
      </c>
      <c r="G47" s="1209">
        <f t="shared" si="3"/>
        <v>0</v>
      </c>
      <c r="H47" s="1076">
        <f>'Table 3 Levels 1&amp;2'!AL49</f>
        <v>5779.093338400972</v>
      </c>
      <c r="I47" s="1091">
        <f>'Table 4 Level 3'!W47+'Table 4 Level 3'!AA47</f>
        <v>323.46</v>
      </c>
      <c r="J47" s="1076">
        <f>'Table 4 Level 3'!AE47</f>
        <v>0</v>
      </c>
      <c r="K47" s="1076">
        <f t="shared" si="4"/>
        <v>6102.553338400972</v>
      </c>
      <c r="L47" s="1076">
        <f t="shared" si="5"/>
        <v>3051.276669200486</v>
      </c>
      <c r="M47" s="1116">
        <f t="shared" si="6"/>
        <v>0</v>
      </c>
    </row>
    <row r="48" spans="1:13" ht="12.75">
      <c r="A48" s="124">
        <v>43</v>
      </c>
      <c r="B48" s="124" t="s">
        <v>544</v>
      </c>
      <c r="C48" s="762">
        <f>'[18]1_MFP &amp; Funded Membership'!$U51</f>
        <v>4026</v>
      </c>
      <c r="D48" s="762">
        <f>'[24]1_MFP &amp; Funded Membership'!U51</f>
        <v>4004</v>
      </c>
      <c r="E48" s="1039">
        <f t="shared" si="1"/>
        <v>-22</v>
      </c>
      <c r="F48" s="269">
        <f t="shared" si="2"/>
        <v>-0.00546448087431694</v>
      </c>
      <c r="G48" s="1209">
        <f t="shared" si="3"/>
        <v>0</v>
      </c>
      <c r="H48" s="477">
        <f>'Table 3 Levels 1&amp;2'!AL50</f>
        <v>6072.171321025299</v>
      </c>
      <c r="I48" s="1092">
        <f>'Table 4 Level 3'!W48+'Table 4 Level 3'!AA48</f>
        <v>346.63</v>
      </c>
      <c r="J48" s="477">
        <f>'Table 4 Level 3'!AE48</f>
        <v>0</v>
      </c>
      <c r="K48" s="477">
        <f t="shared" si="4"/>
        <v>6418.801321025299</v>
      </c>
      <c r="L48" s="477">
        <f t="shared" si="5"/>
        <v>3209.4006605126497</v>
      </c>
      <c r="M48" s="1116">
        <f t="shared" si="6"/>
        <v>0</v>
      </c>
    </row>
    <row r="49" spans="1:13" ht="12.75">
      <c r="A49" s="124">
        <v>44</v>
      </c>
      <c r="B49" s="124" t="s">
        <v>545</v>
      </c>
      <c r="C49" s="762">
        <f>'[18]1_MFP &amp; Funded Membership'!$U52</f>
        <v>4854</v>
      </c>
      <c r="D49" s="762">
        <f>'[24]1_MFP &amp; Funded Membership'!U52</f>
        <v>4912</v>
      </c>
      <c r="E49" s="1039">
        <f t="shared" si="1"/>
        <v>58</v>
      </c>
      <c r="F49" s="269">
        <f t="shared" si="2"/>
        <v>0.011948908117016894</v>
      </c>
      <c r="G49" s="1209">
        <f t="shared" si="3"/>
        <v>58</v>
      </c>
      <c r="H49" s="477">
        <f>'Table 3 Levels 1&amp;2'!AL51</f>
        <v>4099.9706212088095</v>
      </c>
      <c r="I49" s="1092">
        <f>'Table 4 Level 3'!W49+'Table 4 Level 3'!AA49</f>
        <v>332.81</v>
      </c>
      <c r="J49" s="477">
        <f>'Table 4 Level 3'!AE49</f>
        <v>124.45</v>
      </c>
      <c r="K49" s="477">
        <f t="shared" si="4"/>
        <v>4557.23062120881</v>
      </c>
      <c r="L49" s="477">
        <f t="shared" si="5"/>
        <v>2278.615310604405</v>
      </c>
      <c r="M49" s="1116">
        <f t="shared" si="6"/>
        <v>132159.6880150555</v>
      </c>
    </row>
    <row r="50" spans="1:13" ht="12.75">
      <c r="A50" s="125">
        <v>45</v>
      </c>
      <c r="B50" s="125" t="s">
        <v>546</v>
      </c>
      <c r="C50" s="763">
        <f>'[18]1_MFP &amp; Funded Membership'!$U53</f>
        <v>9371</v>
      </c>
      <c r="D50" s="763">
        <f>'[24]1_MFP &amp; Funded Membership'!U53</f>
        <v>9384</v>
      </c>
      <c r="E50" s="1040">
        <f t="shared" si="1"/>
        <v>13</v>
      </c>
      <c r="F50" s="270">
        <f t="shared" si="2"/>
        <v>0.0013872585636538256</v>
      </c>
      <c r="G50" s="1210">
        <f t="shared" si="3"/>
        <v>0</v>
      </c>
      <c r="H50" s="1077">
        <f>'Table 3 Levels 1&amp;2'!AL52</f>
        <v>2845.62982171799</v>
      </c>
      <c r="I50" s="1093">
        <f>'Table 4 Level 3'!W50+'Table 4 Level 3'!AA50</f>
        <v>377.5</v>
      </c>
      <c r="J50" s="1077">
        <f>'Table 4 Level 3'!AE50</f>
        <v>125.83</v>
      </c>
      <c r="K50" s="1077">
        <f t="shared" si="4"/>
        <v>3348.95982171799</v>
      </c>
      <c r="L50" s="1077">
        <f t="shared" si="5"/>
        <v>1674.479910858995</v>
      </c>
      <c r="M50" s="1117">
        <f t="shared" si="6"/>
        <v>0</v>
      </c>
    </row>
    <row r="51" spans="1:13" ht="12.75">
      <c r="A51" s="124">
        <v>46</v>
      </c>
      <c r="B51" s="124" t="s">
        <v>547</v>
      </c>
      <c r="C51" s="761">
        <f>'[18]1_MFP &amp; Funded Membership'!$U54</f>
        <v>1163</v>
      </c>
      <c r="D51" s="761">
        <f>'[24]1_MFP &amp; Funded Membership'!U54</f>
        <v>1130</v>
      </c>
      <c r="E51" s="1039">
        <f t="shared" si="1"/>
        <v>-33</v>
      </c>
      <c r="F51" s="269">
        <f t="shared" si="2"/>
        <v>-0.028374892519346516</v>
      </c>
      <c r="G51" s="1209">
        <f t="shared" si="3"/>
        <v>0</v>
      </c>
      <c r="H51" s="1076">
        <f>'Table 3 Levels 1&amp;2'!AL53</f>
        <v>6097.1670822</v>
      </c>
      <c r="I51" s="1091">
        <f>'Table 4 Level 3'!W51+'Table 4 Level 3'!AA51</f>
        <v>300.99</v>
      </c>
      <c r="J51" s="1076">
        <f>'Table 4 Level 3'!AE51</f>
        <v>48.69</v>
      </c>
      <c r="K51" s="1076">
        <f t="shared" si="4"/>
        <v>6446.847082199999</v>
      </c>
      <c r="L51" s="1076">
        <f t="shared" si="5"/>
        <v>3223.4235410999995</v>
      </c>
      <c r="M51" s="1116">
        <f t="shared" si="6"/>
        <v>0</v>
      </c>
    </row>
    <row r="52" spans="1:13" ht="12.75">
      <c r="A52" s="124">
        <v>47</v>
      </c>
      <c r="B52" s="124" t="s">
        <v>548</v>
      </c>
      <c r="C52" s="761">
        <f>'[18]1_MFP &amp; Funded Membership'!$U55</f>
        <v>3768</v>
      </c>
      <c r="D52" s="761">
        <f>'[24]1_MFP &amp; Funded Membership'!U55</f>
        <v>3721</v>
      </c>
      <c r="E52" s="1039">
        <f t="shared" si="1"/>
        <v>-47</v>
      </c>
      <c r="F52" s="269">
        <f t="shared" si="2"/>
        <v>-0.012473460721868366</v>
      </c>
      <c r="G52" s="1209">
        <f t="shared" si="3"/>
        <v>0</v>
      </c>
      <c r="H52" s="1076">
        <f>'Table 3 Levels 1&amp;2'!AL54</f>
        <v>4147.074712769491</v>
      </c>
      <c r="I52" s="1091">
        <f>'Table 4 Level 3'!W52+'Table 4 Level 3'!AA52</f>
        <v>354.05</v>
      </c>
      <c r="J52" s="1076">
        <f>'Table 4 Level 3'!AE52</f>
        <v>127.14</v>
      </c>
      <c r="K52" s="1076">
        <f t="shared" si="4"/>
        <v>4628.264712769492</v>
      </c>
      <c r="L52" s="1076">
        <f t="shared" si="5"/>
        <v>2314.132356384746</v>
      </c>
      <c r="M52" s="1116">
        <f t="shared" si="6"/>
        <v>0</v>
      </c>
    </row>
    <row r="53" spans="1:13" ht="12.75">
      <c r="A53" s="124">
        <v>48</v>
      </c>
      <c r="B53" s="124" t="s">
        <v>549</v>
      </c>
      <c r="C53" s="762">
        <f>'[18]1_MFP &amp; Funded Membership'!$U56</f>
        <v>6058</v>
      </c>
      <c r="D53" s="762">
        <f>'[24]1_MFP &amp; Funded Membership'!U56</f>
        <v>6034</v>
      </c>
      <c r="E53" s="1039">
        <f t="shared" si="1"/>
        <v>-24</v>
      </c>
      <c r="F53" s="269">
        <f t="shared" si="2"/>
        <v>-0.003961703532518983</v>
      </c>
      <c r="G53" s="1209">
        <f t="shared" si="3"/>
        <v>0</v>
      </c>
      <c r="H53" s="477">
        <f>'Table 3 Levels 1&amp;2'!AL55</f>
        <v>4603.374317503719</v>
      </c>
      <c r="I53" s="1092">
        <f>'Table 4 Level 3'!W53+'Table 4 Level 3'!AA53</f>
        <v>342.13</v>
      </c>
      <c r="J53" s="477">
        <f>'Table 4 Level 3'!AE53</f>
        <v>124.85</v>
      </c>
      <c r="K53" s="477">
        <f t="shared" si="4"/>
        <v>5070.354317503719</v>
      </c>
      <c r="L53" s="477">
        <f t="shared" si="5"/>
        <v>2535.1771587518597</v>
      </c>
      <c r="M53" s="1116">
        <f t="shared" si="6"/>
        <v>0</v>
      </c>
    </row>
    <row r="54" spans="1:13" ht="12.75">
      <c r="A54" s="124">
        <v>49</v>
      </c>
      <c r="B54" s="124" t="s">
        <v>550</v>
      </c>
      <c r="C54" s="762">
        <f>'[18]1_MFP &amp; Funded Membership'!$U57</f>
        <v>14623</v>
      </c>
      <c r="D54" s="762">
        <f>'[24]1_MFP &amp; Funded Membership'!U57</f>
        <v>14515</v>
      </c>
      <c r="E54" s="1039">
        <f t="shared" si="1"/>
        <v>-108</v>
      </c>
      <c r="F54" s="269">
        <f t="shared" si="2"/>
        <v>-0.007385625384667989</v>
      </c>
      <c r="G54" s="1209">
        <f t="shared" si="3"/>
        <v>0</v>
      </c>
      <c r="H54" s="477">
        <f>'Table 3 Levels 1&amp;2'!AL56</f>
        <v>5043.356478480614</v>
      </c>
      <c r="I54" s="1092">
        <f>'Table 4 Level 3'!W54+'Table 4 Level 3'!AA54</f>
        <v>312.71000000000004</v>
      </c>
      <c r="J54" s="477">
        <f>'Table 4 Level 3'!AE54</f>
        <v>41.43</v>
      </c>
      <c r="K54" s="477">
        <f t="shared" si="4"/>
        <v>5397.496478480614</v>
      </c>
      <c r="L54" s="477">
        <f t="shared" si="5"/>
        <v>2698.748239240307</v>
      </c>
      <c r="M54" s="1116">
        <f t="shared" si="6"/>
        <v>0</v>
      </c>
    </row>
    <row r="55" spans="1:13" ht="12.75">
      <c r="A55" s="125">
        <v>50</v>
      </c>
      <c r="B55" s="125" t="s">
        <v>551</v>
      </c>
      <c r="C55" s="763">
        <f>'[18]1_MFP &amp; Funded Membership'!$U58</f>
        <v>8004</v>
      </c>
      <c r="D55" s="763">
        <f>'[24]1_MFP &amp; Funded Membership'!U58</f>
        <v>7968</v>
      </c>
      <c r="E55" s="1040">
        <f t="shared" si="1"/>
        <v>-36</v>
      </c>
      <c r="F55" s="270">
        <f t="shared" si="2"/>
        <v>-0.004497751124437781</v>
      </c>
      <c r="G55" s="1210">
        <f t="shared" si="3"/>
        <v>0</v>
      </c>
      <c r="H55" s="1077">
        <f>'Table 3 Levels 1&amp;2'!AL57</f>
        <v>5310.617420976505</v>
      </c>
      <c r="I55" s="1093">
        <f>'Table 4 Level 3'!W55+'Table 4 Level 3'!AA55</f>
        <v>296.81</v>
      </c>
      <c r="J55" s="1077">
        <f>'Table 4 Level 3'!AE55</f>
        <v>97.03</v>
      </c>
      <c r="K55" s="1077">
        <f t="shared" si="4"/>
        <v>5704.457420976505</v>
      </c>
      <c r="L55" s="1077">
        <f t="shared" si="5"/>
        <v>2852.2287104882525</v>
      </c>
      <c r="M55" s="1117">
        <f t="shared" si="6"/>
        <v>0</v>
      </c>
    </row>
    <row r="56" spans="1:13" ht="12.75">
      <c r="A56" s="124">
        <v>51</v>
      </c>
      <c r="B56" s="124" t="s">
        <v>552</v>
      </c>
      <c r="C56" s="761">
        <f>'[18]1_MFP &amp; Funded Membership'!$U59</f>
        <v>9174</v>
      </c>
      <c r="D56" s="761">
        <f>'[24]1_MFP &amp; Funded Membership'!U59</f>
        <v>8999</v>
      </c>
      <c r="E56" s="1039">
        <f t="shared" si="1"/>
        <v>-175</v>
      </c>
      <c r="F56" s="269">
        <f t="shared" si="2"/>
        <v>-0.01907564857205145</v>
      </c>
      <c r="G56" s="1209">
        <f t="shared" si="3"/>
        <v>0</v>
      </c>
      <c r="H56" s="1076">
        <f>'Table 3 Levels 1&amp;2'!AL58</f>
        <v>4876.7710767268345</v>
      </c>
      <c r="I56" s="1091">
        <f>'Table 4 Level 3'!W56+'Table 4 Level 3'!AA56</f>
        <v>339.90999999999997</v>
      </c>
      <c r="J56" s="1076">
        <f>'Table 4 Level 3'!AE56</f>
        <v>114.98</v>
      </c>
      <c r="K56" s="1076">
        <f t="shared" si="4"/>
        <v>5331.661076726834</v>
      </c>
      <c r="L56" s="1076">
        <f t="shared" si="5"/>
        <v>2665.830538363417</v>
      </c>
      <c r="M56" s="1116">
        <f t="shared" si="6"/>
        <v>0</v>
      </c>
    </row>
    <row r="57" spans="1:13" ht="12.75">
      <c r="A57" s="124">
        <v>52</v>
      </c>
      <c r="B57" s="124" t="s">
        <v>553</v>
      </c>
      <c r="C57" s="761">
        <f>'[18]1_MFP &amp; Funded Membership'!$U60</f>
        <v>35534</v>
      </c>
      <c r="D57" s="761">
        <f>'[24]1_MFP &amp; Funded Membership'!U60</f>
        <v>35501</v>
      </c>
      <c r="E57" s="1039">
        <f t="shared" si="1"/>
        <v>-33</v>
      </c>
      <c r="F57" s="269">
        <f t="shared" si="2"/>
        <v>-0.0009286880171103731</v>
      </c>
      <c r="G57" s="1209">
        <f t="shared" si="3"/>
        <v>0</v>
      </c>
      <c r="H57" s="1076">
        <f>'Table 3 Levels 1&amp;2'!AL59</f>
        <v>4851.084310592466</v>
      </c>
      <c r="I57" s="1091">
        <f>'Table 4 Level 3'!W57+'Table 4 Level 3'!AA57</f>
        <v>322.81</v>
      </c>
      <c r="J57" s="1076">
        <f>'Table 4 Level 3'!AE57</f>
        <v>106.85</v>
      </c>
      <c r="K57" s="1076">
        <f t="shared" si="4"/>
        <v>5280.744310592467</v>
      </c>
      <c r="L57" s="1076">
        <f t="shared" si="5"/>
        <v>2640.3721552962334</v>
      </c>
      <c r="M57" s="1116">
        <f t="shared" si="6"/>
        <v>0</v>
      </c>
    </row>
    <row r="58" spans="1:13" ht="12.75">
      <c r="A58" s="124">
        <v>53</v>
      </c>
      <c r="B58" s="124" t="s">
        <v>554</v>
      </c>
      <c r="C58" s="762">
        <f>'[18]1_MFP &amp; Funded Membership'!$U61</f>
        <v>18742</v>
      </c>
      <c r="D58" s="762">
        <f>'[24]1_MFP &amp; Funded Membership'!U61</f>
        <v>18595</v>
      </c>
      <c r="E58" s="1039">
        <f t="shared" si="1"/>
        <v>-147</v>
      </c>
      <c r="F58" s="269">
        <f t="shared" si="2"/>
        <v>-0.007843346494504322</v>
      </c>
      <c r="G58" s="1209">
        <f t="shared" si="3"/>
        <v>0</v>
      </c>
      <c r="H58" s="477">
        <f>'Table 3 Levels 1&amp;2'!AL60</f>
        <v>5103.676999738452</v>
      </c>
      <c r="I58" s="1092">
        <f>'Table 4 Level 3'!W58+'Table 4 Level 3'!AA58</f>
        <v>280.18</v>
      </c>
      <c r="J58" s="477">
        <f>'Table 4 Level 3'!AE58</f>
        <v>92.76</v>
      </c>
      <c r="K58" s="477">
        <f t="shared" si="4"/>
        <v>5476.616999738452</v>
      </c>
      <c r="L58" s="477">
        <f t="shared" si="5"/>
        <v>2738.308499869226</v>
      </c>
      <c r="M58" s="1116">
        <f t="shared" si="6"/>
        <v>0</v>
      </c>
    </row>
    <row r="59" spans="1:13" ht="12.75">
      <c r="A59" s="124">
        <v>54</v>
      </c>
      <c r="B59" s="124" t="s">
        <v>555</v>
      </c>
      <c r="C59" s="762">
        <f>'[18]1_MFP &amp; Funded Membership'!$U62</f>
        <v>706</v>
      </c>
      <c r="D59" s="762">
        <f>'[24]1_MFP &amp; Funded Membership'!U62</f>
        <v>708</v>
      </c>
      <c r="E59" s="1039">
        <f t="shared" si="1"/>
        <v>2</v>
      </c>
      <c r="F59" s="269">
        <f t="shared" si="2"/>
        <v>0.0028328611898017</v>
      </c>
      <c r="G59" s="1209">
        <f t="shared" si="3"/>
        <v>0</v>
      </c>
      <c r="H59" s="477">
        <f>'Table 3 Levels 1&amp;2'!AL61</f>
        <v>5993.236893932961</v>
      </c>
      <c r="I59" s="1092">
        <f>'Table 4 Level 3'!W59+'Table 4 Level 3'!AA59</f>
        <v>431.16</v>
      </c>
      <c r="J59" s="477">
        <f>'Table 4 Level 3'!AE59</f>
        <v>78.45</v>
      </c>
      <c r="K59" s="477">
        <f t="shared" si="4"/>
        <v>6502.8468939329605</v>
      </c>
      <c r="L59" s="477">
        <f t="shared" si="5"/>
        <v>3251.4234469664802</v>
      </c>
      <c r="M59" s="1116">
        <f t="shared" si="6"/>
        <v>0</v>
      </c>
    </row>
    <row r="60" spans="1:13" ht="12.75">
      <c r="A60" s="125">
        <v>55</v>
      </c>
      <c r="B60" s="125" t="s">
        <v>556</v>
      </c>
      <c r="C60" s="763">
        <f>'[18]1_MFP &amp; Funded Membership'!$U63</f>
        <v>17948</v>
      </c>
      <c r="D60" s="763">
        <f>'[24]1_MFP &amp; Funded Membership'!U63</f>
        <v>17788</v>
      </c>
      <c r="E60" s="1040">
        <f t="shared" si="1"/>
        <v>-160</v>
      </c>
      <c r="F60" s="270">
        <f t="shared" si="2"/>
        <v>-0.008914642299977713</v>
      </c>
      <c r="G60" s="1210">
        <f t="shared" si="3"/>
        <v>0</v>
      </c>
      <c r="H60" s="1077">
        <f>'Table 3 Levels 1&amp;2'!AL62</f>
        <v>4412.749036837297</v>
      </c>
      <c r="I60" s="1093">
        <f>'Table 4 Level 3'!W60+'Table 4 Level 3'!AA60</f>
        <v>318.52</v>
      </c>
      <c r="J60" s="1077">
        <f>'Table 4 Level 3'!AE60</f>
        <v>114.24</v>
      </c>
      <c r="K60" s="1077">
        <f t="shared" si="4"/>
        <v>4845.509036837297</v>
      </c>
      <c r="L60" s="1077">
        <f t="shared" si="5"/>
        <v>2422.7545184186483</v>
      </c>
      <c r="M60" s="1117">
        <f t="shared" si="6"/>
        <v>0</v>
      </c>
    </row>
    <row r="61" spans="1:13" ht="12.75">
      <c r="A61" s="124">
        <v>56</v>
      </c>
      <c r="B61" s="124" t="s">
        <v>557</v>
      </c>
      <c r="C61" s="761">
        <f>'[18]1_MFP &amp; Funded Membership'!$U64</f>
        <v>2591</v>
      </c>
      <c r="D61" s="761">
        <f>'[24]1_MFP &amp; Funded Membership'!U64</f>
        <v>2584</v>
      </c>
      <c r="E61" s="1039">
        <f t="shared" si="1"/>
        <v>-7</v>
      </c>
      <c r="F61" s="269">
        <f t="shared" si="2"/>
        <v>-0.002701659590891548</v>
      </c>
      <c r="G61" s="1209">
        <f t="shared" si="3"/>
        <v>0</v>
      </c>
      <c r="H61" s="1076">
        <f>'Table 3 Levels 1&amp;2'!AL63</f>
        <v>5738.554206138203</v>
      </c>
      <c r="I61" s="1091">
        <f>'Table 4 Level 3'!W61+'Table 4 Level 3'!AA61</f>
        <v>313.78999999999996</v>
      </c>
      <c r="J61" s="1076">
        <f>'Table 4 Level 3'!AE61</f>
        <v>99.45</v>
      </c>
      <c r="K61" s="1076">
        <f t="shared" si="4"/>
        <v>6151.794206138203</v>
      </c>
      <c r="L61" s="1076">
        <f t="shared" si="5"/>
        <v>3075.8971030691014</v>
      </c>
      <c r="M61" s="1116">
        <f t="shared" si="6"/>
        <v>0</v>
      </c>
    </row>
    <row r="62" spans="1:13" ht="12.75">
      <c r="A62" s="124">
        <v>57</v>
      </c>
      <c r="B62" s="124" t="s">
        <v>558</v>
      </c>
      <c r="C62" s="761">
        <f>'[18]1_MFP &amp; Funded Membership'!$U65</f>
        <v>8743</v>
      </c>
      <c r="D62" s="761">
        <f>'[24]1_MFP &amp; Funded Membership'!U65</f>
        <v>8647</v>
      </c>
      <c r="E62" s="1039">
        <f t="shared" si="1"/>
        <v>-96</v>
      </c>
      <c r="F62" s="269">
        <f t="shared" si="2"/>
        <v>-0.01098021274162187</v>
      </c>
      <c r="G62" s="1209">
        <f t="shared" si="3"/>
        <v>0</v>
      </c>
      <c r="H62" s="1076">
        <f>'Table 3 Levels 1&amp;2'!AL64</f>
        <v>4096.232497452554</v>
      </c>
      <c r="I62" s="1091">
        <f>'Table 4 Level 3'!W62+'Table 4 Level 3'!AA62</f>
        <v>306.25</v>
      </c>
      <c r="J62" s="1076">
        <f>'Table 4 Level 3'!AE62</f>
        <v>91.29</v>
      </c>
      <c r="K62" s="1076">
        <f t="shared" si="4"/>
        <v>4493.772497452554</v>
      </c>
      <c r="L62" s="1076">
        <f t="shared" si="5"/>
        <v>2246.886248726277</v>
      </c>
      <c r="M62" s="1116">
        <f t="shared" si="6"/>
        <v>0</v>
      </c>
    </row>
    <row r="63" spans="1:13" ht="12.75">
      <c r="A63" s="124">
        <v>58</v>
      </c>
      <c r="B63" s="124" t="s">
        <v>559</v>
      </c>
      <c r="C63" s="762">
        <f>'[21]1_MFP &amp; Funded Membership'!$U$66</f>
        <v>9363</v>
      </c>
      <c r="D63" s="762">
        <f>'[24]1_MFP &amp; Funded Membership'!U66</f>
        <v>9350</v>
      </c>
      <c r="E63" s="1039">
        <f t="shared" si="1"/>
        <v>-13</v>
      </c>
      <c r="F63" s="269">
        <f t="shared" si="2"/>
        <v>-0.0013884438748264444</v>
      </c>
      <c r="G63" s="1209">
        <f t="shared" si="3"/>
        <v>0</v>
      </c>
      <c r="H63" s="477">
        <f>'Table 3 Levels 1&amp;2'!AL65</f>
        <v>5774.705675490062</v>
      </c>
      <c r="I63" s="1092">
        <f>'Table 4 Level 3'!W63+'Table 4 Level 3'!AA63</f>
        <v>316.16999999999996</v>
      </c>
      <c r="J63" s="477">
        <f>'Table 4 Level 3'!AE63</f>
        <v>7.19</v>
      </c>
      <c r="K63" s="477">
        <f t="shared" si="4"/>
        <v>6098.065675490062</v>
      </c>
      <c r="L63" s="477">
        <f t="shared" si="5"/>
        <v>3049.032837745031</v>
      </c>
      <c r="M63" s="1116">
        <f t="shared" si="6"/>
        <v>0</v>
      </c>
    </row>
    <row r="64" spans="1:13" ht="12.75">
      <c r="A64" s="124">
        <v>59</v>
      </c>
      <c r="B64" s="124" t="s">
        <v>560</v>
      </c>
      <c r="C64" s="762">
        <f>'[18]1_MFP &amp; Funded Membership'!$U67</f>
        <v>5044</v>
      </c>
      <c r="D64" s="762">
        <f>'[24]1_MFP &amp; Funded Membership'!U67</f>
        <v>5036</v>
      </c>
      <c r="E64" s="1039">
        <f t="shared" si="1"/>
        <v>-8</v>
      </c>
      <c r="F64" s="269">
        <f t="shared" si="2"/>
        <v>-0.0015860428231562252</v>
      </c>
      <c r="G64" s="1209">
        <f t="shared" si="3"/>
        <v>0</v>
      </c>
      <c r="H64" s="477">
        <f>'Table 3 Levels 1&amp;2'!AL66</f>
        <v>6517.323109821138</v>
      </c>
      <c r="I64" s="1092">
        <f>'Table 4 Level 3'!W64+'Table 4 Level 3'!AA64</f>
        <v>333.35</v>
      </c>
      <c r="J64" s="477">
        <f>'Table 4 Level 3'!AE64</f>
        <v>1.84</v>
      </c>
      <c r="K64" s="477">
        <f t="shared" si="4"/>
        <v>6852.513109821139</v>
      </c>
      <c r="L64" s="477">
        <f t="shared" si="5"/>
        <v>3426.2565549105693</v>
      </c>
      <c r="M64" s="1116">
        <f t="shared" si="6"/>
        <v>0</v>
      </c>
    </row>
    <row r="65" spans="1:13" ht="12.75">
      <c r="A65" s="125">
        <v>60</v>
      </c>
      <c r="B65" s="125" t="s">
        <v>561</v>
      </c>
      <c r="C65" s="763">
        <f>'[18]1_MFP &amp; Funded Membership'!$U68</f>
        <v>6901</v>
      </c>
      <c r="D65" s="763">
        <f>'[24]1_MFP &amp; Funded Membership'!U68</f>
        <v>6850</v>
      </c>
      <c r="E65" s="1040">
        <f t="shared" si="1"/>
        <v>-51</v>
      </c>
      <c r="F65" s="270">
        <f t="shared" si="2"/>
        <v>-0.007390233299521809</v>
      </c>
      <c r="G65" s="1210">
        <f t="shared" si="3"/>
        <v>0</v>
      </c>
      <c r="H65" s="1077">
        <f>'Table 3 Levels 1&amp;2'!AL67</f>
        <v>5292.991866915278</v>
      </c>
      <c r="I65" s="1093">
        <f>'Table 4 Level 3'!W65+'Table 4 Level 3'!AA65</f>
        <v>285.65</v>
      </c>
      <c r="J65" s="1077">
        <f>'Table 4 Level 3'!AE65</f>
        <v>96.24</v>
      </c>
      <c r="K65" s="1077">
        <f t="shared" si="4"/>
        <v>5674.881866915277</v>
      </c>
      <c r="L65" s="1077">
        <f t="shared" si="5"/>
        <v>2837.4409334576385</v>
      </c>
      <c r="M65" s="1117">
        <f t="shared" si="6"/>
        <v>0</v>
      </c>
    </row>
    <row r="66" spans="1:13" ht="12.75">
      <c r="A66" s="124">
        <v>61</v>
      </c>
      <c r="B66" s="124" t="s">
        <v>562</v>
      </c>
      <c r="C66" s="761">
        <f>'[18]1_MFP &amp; Funded Membership'!$U69</f>
        <v>3502</v>
      </c>
      <c r="D66" s="761">
        <f>'[24]1_MFP &amp; Funded Membership'!U69</f>
        <v>3467</v>
      </c>
      <c r="E66" s="1039">
        <f t="shared" si="1"/>
        <v>-35</v>
      </c>
      <c r="F66" s="269">
        <f t="shared" si="2"/>
        <v>-0.009994288977727013</v>
      </c>
      <c r="G66" s="1209">
        <f t="shared" si="3"/>
        <v>0</v>
      </c>
      <c r="H66" s="1076">
        <f>'Table 3 Levels 1&amp;2'!AL68</f>
        <v>3425.1370939607386</v>
      </c>
      <c r="I66" s="1091">
        <f>'Table 4 Level 3'!W66+'Table 4 Level 3'!AA66</f>
        <v>325</v>
      </c>
      <c r="J66" s="1076">
        <f>'Table 4 Level 3'!AE66</f>
        <v>123.39</v>
      </c>
      <c r="K66" s="1076">
        <f t="shared" si="4"/>
        <v>3873.5270939607385</v>
      </c>
      <c r="L66" s="1076">
        <f t="shared" si="5"/>
        <v>1936.7635469803693</v>
      </c>
      <c r="M66" s="1116">
        <f t="shared" si="6"/>
        <v>0</v>
      </c>
    </row>
    <row r="67" spans="1:13" ht="12.75">
      <c r="A67" s="124">
        <v>62</v>
      </c>
      <c r="B67" s="124" t="s">
        <v>563</v>
      </c>
      <c r="C67" s="761">
        <f>'[18]1_MFP &amp; Funded Membership'!$U70</f>
        <v>2145</v>
      </c>
      <c r="D67" s="761">
        <f>'[24]1_MFP &amp; Funded Membership'!U70</f>
        <v>2099</v>
      </c>
      <c r="E67" s="1039">
        <f t="shared" si="1"/>
        <v>-46</v>
      </c>
      <c r="F67" s="269">
        <f t="shared" si="2"/>
        <v>-0.021445221445221447</v>
      </c>
      <c r="G67" s="1209">
        <f t="shared" si="3"/>
        <v>0</v>
      </c>
      <c r="H67" s="1076">
        <f>'Table 3 Levels 1&amp;2'!AL69</f>
        <v>5810.311052189752</v>
      </c>
      <c r="I67" s="1091">
        <f>'Table 4 Level 3'!W67+'Table 4 Level 3'!AA67</f>
        <v>301.49</v>
      </c>
      <c r="J67" s="1076">
        <f>'Table 4 Level 3'!AE67</f>
        <v>0</v>
      </c>
      <c r="K67" s="1076">
        <f t="shared" si="4"/>
        <v>6111.801052189752</v>
      </c>
      <c r="L67" s="1076">
        <f t="shared" si="5"/>
        <v>3055.900526094876</v>
      </c>
      <c r="M67" s="1116">
        <f t="shared" si="6"/>
        <v>0</v>
      </c>
    </row>
    <row r="68" spans="1:13" ht="12.75">
      <c r="A68" s="124">
        <v>63</v>
      </c>
      <c r="B68" s="124" t="s">
        <v>564</v>
      </c>
      <c r="C68" s="762">
        <f>'[18]1_MFP &amp; Funded Membership'!$U71</f>
        <v>2106</v>
      </c>
      <c r="D68" s="762">
        <f>'[24]1_MFP &amp; Funded Membership'!U71</f>
        <v>2089</v>
      </c>
      <c r="E68" s="1039">
        <f t="shared" si="1"/>
        <v>-17</v>
      </c>
      <c r="F68" s="269">
        <f t="shared" si="2"/>
        <v>-0.008072174738841406</v>
      </c>
      <c r="G68" s="1209">
        <f t="shared" si="3"/>
        <v>0</v>
      </c>
      <c r="H68" s="477">
        <f>'Table 3 Levels 1&amp;2'!AL70</f>
        <v>4838.557208899055</v>
      </c>
      <c r="I68" s="1092">
        <f>'Table 4 Level 3'!W68+'Table 4 Level 3'!AA68</f>
        <v>378.31</v>
      </c>
      <c r="J68" s="477">
        <f>'Table 4 Level 3'!AE68</f>
        <v>129.68</v>
      </c>
      <c r="K68" s="477">
        <f t="shared" si="4"/>
        <v>5346.5472088990555</v>
      </c>
      <c r="L68" s="477">
        <f t="shared" si="5"/>
        <v>2673.2736044495277</v>
      </c>
      <c r="M68" s="1116">
        <f t="shared" si="6"/>
        <v>0</v>
      </c>
    </row>
    <row r="69" spans="1:13" ht="12.75">
      <c r="A69" s="124">
        <v>64</v>
      </c>
      <c r="B69" s="124" t="s">
        <v>565</v>
      </c>
      <c r="C69" s="762">
        <f>'[18]1_MFP &amp; Funded Membership'!$U72</f>
        <v>2505</v>
      </c>
      <c r="D69" s="762">
        <f>'[24]1_MFP &amp; Funded Membership'!U72</f>
        <v>2470</v>
      </c>
      <c r="E69" s="1039">
        <f t="shared" si="1"/>
        <v>-35</v>
      </c>
      <c r="F69" s="269">
        <f t="shared" si="2"/>
        <v>-0.013972055888223553</v>
      </c>
      <c r="G69" s="1209">
        <f t="shared" si="3"/>
        <v>0</v>
      </c>
      <c r="H69" s="477">
        <f>'Table 3 Levels 1&amp;2'!AL71</f>
        <v>5867.100148661078</v>
      </c>
      <c r="I69" s="1092">
        <f>'Table 4 Level 3'!W69+'Table 4 Level 3'!AA69</f>
        <v>323.44</v>
      </c>
      <c r="J69" s="477">
        <f>'Table 4 Level 3'!AE69</f>
        <v>0</v>
      </c>
      <c r="K69" s="477">
        <f t="shared" si="4"/>
        <v>6190.540148661077</v>
      </c>
      <c r="L69" s="477">
        <f t="shared" si="5"/>
        <v>3095.2700743305386</v>
      </c>
      <c r="M69" s="1116">
        <f t="shared" si="6"/>
        <v>0</v>
      </c>
    </row>
    <row r="70" spans="1:13" ht="12.75">
      <c r="A70" s="125">
        <v>65</v>
      </c>
      <c r="B70" s="125" t="s">
        <v>566</v>
      </c>
      <c r="C70" s="763">
        <f>'[18]1_MFP &amp; Funded Membership'!$U73</f>
        <v>8260</v>
      </c>
      <c r="D70" s="763">
        <f>'[24]1_MFP &amp; Funded Membership'!U73</f>
        <v>8311</v>
      </c>
      <c r="E70" s="1040">
        <f t="shared" si="1"/>
        <v>51</v>
      </c>
      <c r="F70" s="270">
        <f t="shared" si="2"/>
        <v>0.006174334140435836</v>
      </c>
      <c r="G70" s="1210">
        <f t="shared" si="3"/>
        <v>51</v>
      </c>
      <c r="H70" s="1077">
        <f>'Table 3 Levels 1&amp;2'!AL72</f>
        <v>4699.173457976882</v>
      </c>
      <c r="I70" s="1093">
        <f>'Table 4 Level 3'!W70+'Table 4 Level 3'!AA70</f>
        <v>335.42</v>
      </c>
      <c r="J70" s="1077">
        <f>'Table 4 Level 3'!AE70</f>
        <v>110.11</v>
      </c>
      <c r="K70" s="1077">
        <f t="shared" si="4"/>
        <v>5144.7034579768815</v>
      </c>
      <c r="L70" s="1077">
        <f t="shared" si="5"/>
        <v>2572.3517289884408</v>
      </c>
      <c r="M70" s="1117">
        <f t="shared" si="6"/>
        <v>131189.9381784105</v>
      </c>
    </row>
    <row r="71" spans="1:13" ht="12.75">
      <c r="A71" s="765">
        <v>66</v>
      </c>
      <c r="B71" s="765" t="s">
        <v>567</v>
      </c>
      <c r="C71" s="762">
        <f>'[18]1_MFP &amp; Funded Membership'!$U74</f>
        <v>2168</v>
      </c>
      <c r="D71" s="762">
        <f>'[24]1_MFP &amp; Funded Membership'!U74</f>
        <v>2136</v>
      </c>
      <c r="E71" s="1039">
        <f>D71-C71</f>
        <v>-32</v>
      </c>
      <c r="F71" s="269">
        <f>E71/C71</f>
        <v>-0.014760147601476014</v>
      </c>
      <c r="G71" s="1209">
        <f>IF(OR(F71&gt;0.99%=TRUE,E71&gt;49=TRUE),D71-C71,0)</f>
        <v>0</v>
      </c>
      <c r="H71" s="477">
        <f>'Table 3 Levels 1&amp;2'!AL73</f>
        <v>5975.551622899354</v>
      </c>
      <c r="I71" s="1092">
        <f>'Table 4 Level 3'!W71+'Table 4 Level 3'!AA71</f>
        <v>378.68999999999994</v>
      </c>
      <c r="J71" s="477">
        <f>'Table 4 Level 3'!AE71</f>
        <v>112.62</v>
      </c>
      <c r="K71" s="477">
        <f>H71+I71+J71</f>
        <v>6466.861622899353</v>
      </c>
      <c r="L71" s="477">
        <f>K71*0.5</f>
        <v>3233.4308114496766</v>
      </c>
      <c r="M71" s="1116">
        <f>L71*G71</f>
        <v>0</v>
      </c>
    </row>
    <row r="72" spans="1:13" ht="12.75">
      <c r="A72" s="124">
        <v>67</v>
      </c>
      <c r="B72" s="124" t="s">
        <v>568</v>
      </c>
      <c r="C72" s="761">
        <f>'[18]1_MFP &amp; Funded Membership'!$U75</f>
        <v>4755</v>
      </c>
      <c r="D72" s="761">
        <f>'[24]1_MFP &amp; Funded Membership'!U75</f>
        <v>4745</v>
      </c>
      <c r="E72" s="1039">
        <f>D72-C72</f>
        <v>-10</v>
      </c>
      <c r="F72" s="269">
        <f>E72/C72</f>
        <v>-0.002103049421661409</v>
      </c>
      <c r="G72" s="1209">
        <f>IF(OR(F72&gt;0.99%=TRUE,E72&gt;49=TRUE),D72-C72,0)</f>
        <v>0</v>
      </c>
      <c r="H72" s="1076">
        <f>'Table 3 Levels 1&amp;2'!AL74</f>
        <v>5391.273907702829</v>
      </c>
      <c r="I72" s="1091">
        <f>'Table 4 Level 3'!W72+'Table 4 Level 3'!AA72</f>
        <v>262.98</v>
      </c>
      <c r="J72" s="1076">
        <f>'Table 4 Level 3'!AE72</f>
        <v>94.62</v>
      </c>
      <c r="K72" s="1076">
        <f>H72+I72+J72</f>
        <v>5748.873907702829</v>
      </c>
      <c r="L72" s="1076">
        <f>K72*0.5</f>
        <v>2874.4369538514143</v>
      </c>
      <c r="M72" s="1116">
        <f>L72*G72</f>
        <v>0</v>
      </c>
    </row>
    <row r="73" spans="1:13" ht="12.75">
      <c r="A73" s="124">
        <v>68</v>
      </c>
      <c r="B73" s="124" t="s">
        <v>569</v>
      </c>
      <c r="C73" s="761">
        <f>'[18]1_MFP &amp; Funded Membership'!$U76</f>
        <v>1909</v>
      </c>
      <c r="D73" s="761">
        <f>'[24]1_MFP &amp; Funded Membership'!U76</f>
        <v>1912</v>
      </c>
      <c r="E73" s="1039">
        <f>D73-C73</f>
        <v>3</v>
      </c>
      <c r="F73" s="269">
        <f>E73/C73</f>
        <v>0.001571503404924044</v>
      </c>
      <c r="G73" s="1209">
        <f>IF(OR(F73&gt;0.99%=TRUE,E73&gt;49=TRUE),D73-C73,0)</f>
        <v>0</v>
      </c>
      <c r="H73" s="1076">
        <f>'Table 3 Levels 1&amp;2'!AL75</f>
        <v>6470.310196905727</v>
      </c>
      <c r="I73" s="1091">
        <f>'Table 4 Level 3'!W73+'Table 4 Level 3'!AA73</f>
        <v>309.47</v>
      </c>
      <c r="J73" s="1076">
        <f>'Table 4 Level 3'!AE73</f>
        <v>100.32</v>
      </c>
      <c r="K73" s="1076">
        <f>H73+I73+J73</f>
        <v>6880.100196905727</v>
      </c>
      <c r="L73" s="1076">
        <f>K73*0.5</f>
        <v>3440.0500984528635</v>
      </c>
      <c r="M73" s="1116">
        <f>L73*G73</f>
        <v>0</v>
      </c>
    </row>
    <row r="74" spans="1:13" ht="12.75">
      <c r="A74" s="764">
        <v>69</v>
      </c>
      <c r="B74" s="766" t="s">
        <v>570</v>
      </c>
      <c r="C74" s="761">
        <f>'[18]1_MFP &amp; Funded Membership'!$U77</f>
        <v>3737</v>
      </c>
      <c r="D74" s="761">
        <f>'[24]1_MFP &amp; Funded Membership'!U77</f>
        <v>3708</v>
      </c>
      <c r="E74" s="1039">
        <f>D74-C74</f>
        <v>-29</v>
      </c>
      <c r="F74" s="269">
        <f>E74/C74</f>
        <v>-0.00776023548300776</v>
      </c>
      <c r="G74" s="1209">
        <f>IF(OR(F74&gt;0.99%=TRUE,E74&gt;49=TRUE),D74-C74,0)</f>
        <v>0</v>
      </c>
      <c r="H74" s="1076">
        <f>'Table 3 Levels 1&amp;2'!AL76</f>
        <v>5076.308975900509</v>
      </c>
      <c r="I74" s="1091">
        <f>'Table 4 Level 3'!W74+'Table 4 Level 3'!AA74</f>
        <v>232.04000000000002</v>
      </c>
      <c r="J74" s="1076">
        <f>'Table 4 Level 3'!AE74</f>
        <v>94.5</v>
      </c>
      <c r="K74" s="1076">
        <f>H74+I74+J74</f>
        <v>5402.848975900509</v>
      </c>
      <c r="L74" s="1076">
        <f>K74*0.5</f>
        <v>2701.4244879502544</v>
      </c>
      <c r="M74" s="1116">
        <f>L74*G74</f>
        <v>0</v>
      </c>
    </row>
    <row r="75" spans="1:13" ht="13.5" thickBot="1">
      <c r="A75" s="918"/>
      <c r="B75" s="919" t="s">
        <v>571</v>
      </c>
      <c r="C75" s="921">
        <f>SUM(C6:C74)</f>
        <v>630321</v>
      </c>
      <c r="D75" s="921">
        <f>SUM(D6:D74)</f>
        <v>627108</v>
      </c>
      <c r="E75" s="1191">
        <f>SUM(E6:E74)</f>
        <v>-3213</v>
      </c>
      <c r="F75" s="1052">
        <f>E75/C75</f>
        <v>-0.005097402751931159</v>
      </c>
      <c r="G75" s="1211">
        <f>SUM(G6:G74)</f>
        <v>299</v>
      </c>
      <c r="H75" s="1078"/>
      <c r="I75" s="1094"/>
      <c r="J75" s="1078"/>
      <c r="K75" s="1078"/>
      <c r="L75" s="1078"/>
      <c r="M75" s="1118">
        <f>SUM(M6:M74)</f>
        <v>630529.9165128901</v>
      </c>
    </row>
    <row r="76" spans="1:13" ht="6.75" customHeight="1" thickTop="1">
      <c r="A76" s="915"/>
      <c r="B76" s="916"/>
      <c r="C76" s="917"/>
      <c r="D76" s="917"/>
      <c r="E76" s="917"/>
      <c r="F76" s="1053"/>
      <c r="G76" s="917"/>
      <c r="H76" s="1079"/>
      <c r="I76" s="1095"/>
      <c r="J76" s="1079"/>
      <c r="K76" s="1079"/>
      <c r="L76" s="1079"/>
      <c r="M76" s="1079"/>
    </row>
    <row r="77" spans="1:13" ht="12.75" customHeight="1">
      <c r="A77" s="470"/>
      <c r="B77" s="470" t="s">
        <v>572</v>
      </c>
      <c r="C77" s="773">
        <f>'[18]1_MFP &amp; Funded Membership'!$U90</f>
        <v>1359</v>
      </c>
      <c r="D77" s="773">
        <f>'[24]1_MFP &amp; Funded Membership'!$U$90</f>
        <v>1350</v>
      </c>
      <c r="E77" s="1041">
        <f>D77-C77</f>
        <v>-9</v>
      </c>
      <c r="F77" s="1054">
        <f>E77/C77</f>
        <v>-0.006622516556291391</v>
      </c>
      <c r="G77" s="1212">
        <f>IF(OR(F77&gt;0.99%=TRUE,E77&gt;49=TRUE),D77-C77,0)</f>
        <v>0</v>
      </c>
      <c r="H77" s="1080">
        <f>'Table 5A Lab Schools'!C8</f>
        <v>4624.882160539793</v>
      </c>
      <c r="I77" s="1096">
        <f>'Table 5A Lab Schools'!G8+'Table 5A Lab Schools'!K8</f>
        <v>219</v>
      </c>
      <c r="J77" s="1080">
        <f>'Table 5A Lab Schools'!P8</f>
        <v>83.10185873605948</v>
      </c>
      <c r="K77" s="1080">
        <f>H77+I77+J77</f>
        <v>4926.984019275853</v>
      </c>
      <c r="L77" s="1080">
        <f>K77*0.5</f>
        <v>2463.4920096379265</v>
      </c>
      <c r="M77" s="1131">
        <f>L77*G77</f>
        <v>0</v>
      </c>
    </row>
    <row r="78" spans="1:13" ht="12.75">
      <c r="A78" s="764"/>
      <c r="B78" s="764" t="s">
        <v>573</v>
      </c>
      <c r="C78" s="775">
        <f>'[18]1_MFP &amp; Funded Membership'!$U91</f>
        <v>348</v>
      </c>
      <c r="D78" s="775">
        <f>'[24]1_MFP &amp; Funded Membership'!$U$91</f>
        <v>325</v>
      </c>
      <c r="E78" s="1040">
        <f>D78-C78</f>
        <v>-23</v>
      </c>
      <c r="F78" s="270">
        <f>E78/C78</f>
        <v>-0.06609195402298851</v>
      </c>
      <c r="G78" s="1210">
        <f>IF(OR(F78&gt;0.99%=TRUE,E78&gt;49=TRUE),D78-C78,0)</f>
        <v>0</v>
      </c>
      <c r="H78" s="1144">
        <f>'Table 5A Lab Schools'!C9</f>
        <v>4624.882160539793</v>
      </c>
      <c r="I78" s="1145">
        <f>'Table 5A Lab Schools'!G9+'Table 5A Lab Schools'!K9</f>
        <v>276</v>
      </c>
      <c r="J78" s="1144">
        <f>'Table 5A Lab Schools'!P9</f>
        <v>120.02832861189802</v>
      </c>
      <c r="K78" s="1144">
        <f>H78+I78+J78</f>
        <v>5020.910489151692</v>
      </c>
      <c r="L78" s="1144">
        <f>K78*0.5</f>
        <v>2510.455244575846</v>
      </c>
      <c r="M78" s="1117">
        <f>L78*G78</f>
        <v>0</v>
      </c>
    </row>
    <row r="79" spans="1:13" ht="12.75">
      <c r="A79" s="988"/>
      <c r="B79" s="1071" t="s">
        <v>574</v>
      </c>
      <c r="C79" s="1146">
        <f>SUM(C77:C78)</f>
        <v>1707</v>
      </c>
      <c r="D79" s="1146">
        <f>SUM(D77:D78)</f>
        <v>1675</v>
      </c>
      <c r="E79" s="1147">
        <f>SUM(E77:E78)</f>
        <v>-32</v>
      </c>
      <c r="F79" s="1148">
        <f>E79/C79</f>
        <v>-0.018746338605741066</v>
      </c>
      <c r="G79" s="1213">
        <f>SUM(G77:G78)</f>
        <v>0</v>
      </c>
      <c r="H79" s="1150"/>
      <c r="I79" s="1151"/>
      <c r="J79" s="1150"/>
      <c r="K79" s="1150"/>
      <c r="L79" s="1204"/>
      <c r="M79" s="1152">
        <f>SUM(M77:M78)</f>
        <v>0</v>
      </c>
    </row>
    <row r="80" spans="1:13" ht="6.75" customHeight="1">
      <c r="A80" s="915"/>
      <c r="B80" s="916"/>
      <c r="C80" s="917"/>
      <c r="D80" s="917"/>
      <c r="E80" s="917"/>
      <c r="F80" s="1053"/>
      <c r="G80" s="917"/>
      <c r="H80" s="1079"/>
      <c r="I80" s="1095"/>
      <c r="J80" s="1079"/>
      <c r="K80" s="1079"/>
      <c r="L80" s="1079"/>
      <c r="M80" s="1079"/>
    </row>
    <row r="81" spans="1:13" s="95" customFormat="1" ht="12" customHeight="1">
      <c r="A81" s="799"/>
      <c r="B81" s="800" t="s">
        <v>785</v>
      </c>
      <c r="C81" s="802">
        <f>'[18]1_MFP &amp; Funded Membership'!$U$114</f>
        <v>92</v>
      </c>
      <c r="D81" s="802">
        <f>'[24]1_MFP &amp; Funded Membership'!$U$114</f>
        <v>88</v>
      </c>
      <c r="E81" s="1045">
        <f>D81-C81</f>
        <v>-4</v>
      </c>
      <c r="F81" s="1059">
        <f>E81/C81</f>
        <v>-0.043478260869565216</v>
      </c>
      <c r="G81" s="1209">
        <f>IF(OR(F81&gt;0.99%=TRUE,E81&gt;49=TRUE),D81-C81,0)</f>
        <v>0</v>
      </c>
      <c r="H81" s="1085">
        <f>'Table 5C_Type 2'!D5</f>
        <v>3632.310699762789</v>
      </c>
      <c r="I81" s="1100">
        <f>'Table 5C_Type 2'!F5</f>
        <v>309.24</v>
      </c>
      <c r="J81" s="1085">
        <f>'Table 5C_Type 2'!H5</f>
        <v>113.10762416806803</v>
      </c>
      <c r="K81" s="1085">
        <f>H81+I81+J81</f>
        <v>4054.658323930857</v>
      </c>
      <c r="L81" s="1085">
        <f>K81*0.5</f>
        <v>2027.3291619654285</v>
      </c>
      <c r="M81" s="1116">
        <f>L81*G81</f>
        <v>0</v>
      </c>
    </row>
    <row r="82" spans="1:14" s="95" customFormat="1" ht="12" customHeight="1">
      <c r="A82" s="799"/>
      <c r="B82" s="804" t="s">
        <v>786</v>
      </c>
      <c r="C82" s="802">
        <f>'[18]1_MFP &amp; Funded Membership'!$U$112</f>
        <v>202</v>
      </c>
      <c r="D82" s="802">
        <f>'[24]1_MFP &amp; Funded Membership'!$U$112</f>
        <v>216</v>
      </c>
      <c r="E82" s="1045">
        <f>D82-C82</f>
        <v>14</v>
      </c>
      <c r="F82" s="1059">
        <f>E82/C82</f>
        <v>0.06930693069306931</v>
      </c>
      <c r="G82" s="1209">
        <f>IF(OR(F82&gt;0.99%=TRUE,E82&gt;49=TRUE),D82-C82,0)</f>
        <v>14</v>
      </c>
      <c r="H82" s="1085"/>
      <c r="I82" s="1100"/>
      <c r="J82" s="1085"/>
      <c r="K82" s="1085"/>
      <c r="L82" s="1085"/>
      <c r="M82" s="1116">
        <f>'Table 5C2-D''Arbonne Woods'!O8</f>
        <v>27825.338760217557</v>
      </c>
      <c r="N82" s="132"/>
    </row>
    <row r="83" spans="1:13" ht="12.75">
      <c r="A83" s="470"/>
      <c r="B83" s="768" t="s">
        <v>922</v>
      </c>
      <c r="C83" s="43">
        <f>SUM(C81:C82)</f>
        <v>294</v>
      </c>
      <c r="D83" s="43">
        <f>SUM(D81:D82)</f>
        <v>304</v>
      </c>
      <c r="E83" s="471">
        <f>SUM(E81:E82)</f>
        <v>10</v>
      </c>
      <c r="F83" s="1055">
        <f>E83/C83</f>
        <v>0.034013605442176874</v>
      </c>
      <c r="G83" s="43">
        <f>SUM(G81:G82)</f>
        <v>14</v>
      </c>
      <c r="H83" s="1081"/>
      <c r="I83" s="1097"/>
      <c r="J83" s="1081"/>
      <c r="K83" s="1081"/>
      <c r="L83" s="1205"/>
      <c r="M83" s="1132">
        <f>SUM(M81:M82)</f>
        <v>27825.338760217557</v>
      </c>
    </row>
    <row r="84" spans="1:13" ht="7.5" customHeight="1">
      <c r="A84" s="770"/>
      <c r="B84" s="771"/>
      <c r="C84" s="772"/>
      <c r="D84" s="772"/>
      <c r="E84" s="1042"/>
      <c r="F84" s="1056"/>
      <c r="G84" s="772"/>
      <c r="H84" s="1082"/>
      <c r="I84" s="1098"/>
      <c r="J84" s="1082"/>
      <c r="K84" s="1082"/>
      <c r="L84" s="1082"/>
      <c r="M84" s="1082"/>
    </row>
    <row r="85" spans="1:13" ht="16.5" customHeight="1">
      <c r="A85" s="811"/>
      <c r="B85" s="812" t="s">
        <v>575</v>
      </c>
      <c r="C85" s="813">
        <f>'[18]1_MFP &amp; Funded Membership'!$U$153</f>
        <v>11218</v>
      </c>
      <c r="D85" s="813">
        <f>'[24]1_MFP &amp; Funded Membership'!$U$153</f>
        <v>11479</v>
      </c>
      <c r="E85" s="1043">
        <f>D85-C85</f>
        <v>261</v>
      </c>
      <c r="F85" s="1057">
        <f>E85/C85</f>
        <v>0.023266179354608663</v>
      </c>
      <c r="G85" s="1214">
        <f>IF(OR(F85&gt;0.99%=TRUE,E85&gt;49=TRUE),D85-C85,0)</f>
        <v>261</v>
      </c>
      <c r="H85" s="1083">
        <f>'Table 5B1_RSD_Orleans'!D8</f>
        <v>3253.87339114165</v>
      </c>
      <c r="I85" s="869">
        <f>'Table 5B1_RSD_Orleans'!H8+'Table 5B1_RSD_Orleans'!L8</f>
        <v>389.8554183560634</v>
      </c>
      <c r="J85" s="1083">
        <f>'Table 5B1_RSD_Orleans'!Q8</f>
        <v>94.83702650723305</v>
      </c>
      <c r="K85" s="1083">
        <f>H85+I85+J85</f>
        <v>3738.565836004946</v>
      </c>
      <c r="L85" s="1083">
        <f>K85*0.5</f>
        <v>1869.282918002473</v>
      </c>
      <c r="M85" s="1116">
        <f>L85*G85</f>
        <v>487882.84159864543</v>
      </c>
    </row>
    <row r="86" spans="1:13" ht="6.75" customHeight="1">
      <c r="A86" s="770"/>
      <c r="B86" s="771"/>
      <c r="C86" s="772"/>
      <c r="D86" s="772"/>
      <c r="E86" s="1042"/>
      <c r="F86" s="1056"/>
      <c r="G86" s="772"/>
      <c r="H86" s="1082"/>
      <c r="I86" s="1098"/>
      <c r="J86" s="1082"/>
      <c r="K86" s="1082"/>
      <c r="L86" s="1082"/>
      <c r="M86" s="1082"/>
    </row>
    <row r="87" spans="1:13" s="95" customFormat="1" ht="12" customHeight="1">
      <c r="A87" s="165"/>
      <c r="B87" s="776" t="s">
        <v>576</v>
      </c>
      <c r="C87" s="777">
        <f>'[19]RSD Members &amp; At-Risk by Site'!$X$25</f>
        <v>373</v>
      </c>
      <c r="D87" s="777">
        <f>'[25]1_RSD Members &amp; At-Risk By Site'!$W$11</f>
        <v>370</v>
      </c>
      <c r="E87" s="1044">
        <f aca="true" t="shared" si="7" ref="E87:E123">D87-C87</f>
        <v>-3</v>
      </c>
      <c r="F87" s="1058">
        <f aca="true" t="shared" si="8" ref="F87:F124">E87/C87</f>
        <v>-0.00804289544235925</v>
      </c>
      <c r="G87" s="1215">
        <f aca="true" t="shared" si="9" ref="G87:G123">IF(OR(F87&gt;0.99%=TRUE,E87&gt;49=TRUE),D87-C87,0)</f>
        <v>0</v>
      </c>
      <c r="H87" s="1084">
        <f>'Table 5B1_RSD_Orleans'!D11</f>
        <v>3253.87339114165</v>
      </c>
      <c r="I87" s="1099">
        <f>'Table 5B1_RSD_Orleans'!H11+'Table 5B1_RSD_Orleans'!L11</f>
        <v>285.0705128205128</v>
      </c>
      <c r="J87" s="1084">
        <f>'Table 5B1_RSD_Orleans'!Q11</f>
        <v>133.23899371069183</v>
      </c>
      <c r="K87" s="1084">
        <f aca="true" t="shared" si="10" ref="K87:K123">H87+I87+J87</f>
        <v>3672.1828976728543</v>
      </c>
      <c r="L87" s="1076">
        <f aca="true" t="shared" si="11" ref="L87:L123">K87*0.5</f>
        <v>1836.0914488364272</v>
      </c>
      <c r="M87" s="1120">
        <f aca="true" t="shared" si="12" ref="M87:M123">L87*G87</f>
        <v>0</v>
      </c>
    </row>
    <row r="88" spans="1:13" s="95" customFormat="1" ht="12" customHeight="1">
      <c r="A88" s="799"/>
      <c r="B88" s="800" t="s">
        <v>886</v>
      </c>
      <c r="C88" s="802">
        <f>'[19]RSD Members &amp; At-Risk by Site'!$X$24</f>
        <v>426</v>
      </c>
      <c r="D88" s="802">
        <f>'[25]1_RSD Members &amp; At-Risk By Site'!$W$10</f>
        <v>415</v>
      </c>
      <c r="E88" s="1045">
        <f t="shared" si="7"/>
        <v>-11</v>
      </c>
      <c r="F88" s="1059">
        <f t="shared" si="8"/>
        <v>-0.025821596244131457</v>
      </c>
      <c r="G88" s="1209">
        <f t="shared" si="9"/>
        <v>0</v>
      </c>
      <c r="H88" s="1085">
        <f>'Table 5B1_RSD_Orleans'!D12</f>
        <v>3253.87339114165</v>
      </c>
      <c r="I88" s="1100">
        <f>'Table 5B1_RSD_Orleans'!H12+'Table 5B1_RSD_Orleans'!L12</f>
        <v>316.51492537313436</v>
      </c>
      <c r="J88" s="1085">
        <f>'Table 5B1_RSD_Orleans'!Q12</f>
        <v>138.846921797005</v>
      </c>
      <c r="K88" s="1085">
        <f t="shared" si="10"/>
        <v>3709.235238311789</v>
      </c>
      <c r="L88" s="1076">
        <f t="shared" si="11"/>
        <v>1854.6176191558945</v>
      </c>
      <c r="M88" s="1116">
        <f t="shared" si="12"/>
        <v>0</v>
      </c>
    </row>
    <row r="89" spans="1:13" s="95" customFormat="1" ht="12" customHeight="1">
      <c r="A89" s="124"/>
      <c r="B89" s="778" t="s">
        <v>577</v>
      </c>
      <c r="C89" s="762">
        <f>'[19]RSD Members &amp; At-Risk by Site'!$X$42</f>
        <v>574</v>
      </c>
      <c r="D89" s="762">
        <f>'[25]1_RSD Members &amp; At-Risk By Site'!$W$39</f>
        <v>593</v>
      </c>
      <c r="E89" s="418">
        <f t="shared" si="7"/>
        <v>19</v>
      </c>
      <c r="F89" s="1060">
        <f t="shared" si="8"/>
        <v>0.033101045296167246</v>
      </c>
      <c r="G89" s="1209">
        <f t="shared" si="9"/>
        <v>19</v>
      </c>
      <c r="H89" s="477">
        <f>'Table 5B1_RSD_Orleans'!D13</f>
        <v>3253.87339114165</v>
      </c>
      <c r="I89" s="1092">
        <f>'Table 5B1_RSD_Orleans'!H13+'Table 5B1_RSD_Orleans'!L13</f>
        <v>256.8524332810047</v>
      </c>
      <c r="J89" s="477">
        <f>'Table 5B1_RSD_Orleans'!Q13</f>
        <v>81.33991537376586</v>
      </c>
      <c r="K89" s="477">
        <f t="shared" si="10"/>
        <v>3592.0657397964205</v>
      </c>
      <c r="L89" s="1076">
        <f t="shared" si="11"/>
        <v>1796.0328698982103</v>
      </c>
      <c r="M89" s="1116">
        <f t="shared" si="12"/>
        <v>34124.62452806599</v>
      </c>
    </row>
    <row r="90" spans="1:13" s="95" customFormat="1" ht="12" customHeight="1">
      <c r="A90" s="124"/>
      <c r="B90" s="778" t="s">
        <v>578</v>
      </c>
      <c r="C90" s="762">
        <f>'[19]RSD Members &amp; At-Risk by Site'!$X$43</f>
        <v>621</v>
      </c>
      <c r="D90" s="762">
        <f>'[25]1_RSD Members &amp; At-Risk By Site'!$W$40</f>
        <v>616</v>
      </c>
      <c r="E90" s="418">
        <f t="shared" si="7"/>
        <v>-5</v>
      </c>
      <c r="F90" s="1060">
        <f t="shared" si="8"/>
        <v>-0.008051529790660225</v>
      </c>
      <c r="G90" s="1209">
        <f t="shared" si="9"/>
        <v>0</v>
      </c>
      <c r="H90" s="477">
        <f>'Table 5B1_RSD_Orleans'!D14</f>
        <v>3253.87339114165</v>
      </c>
      <c r="I90" s="1092">
        <f>'Table 5B1_RSD_Orleans'!H14+'Table 5B1_RSD_Orleans'!L14</f>
        <v>321.7417218543046</v>
      </c>
      <c r="J90" s="477">
        <f>'Table 5B1_RSD_Orleans'!Q14</f>
        <v>87.18165784832452</v>
      </c>
      <c r="K90" s="477">
        <f t="shared" si="10"/>
        <v>3662.796770844279</v>
      </c>
      <c r="L90" s="1076">
        <f t="shared" si="11"/>
        <v>1831.3983854221394</v>
      </c>
      <c r="M90" s="1116">
        <f t="shared" si="12"/>
        <v>0</v>
      </c>
    </row>
    <row r="91" spans="1:13" s="95" customFormat="1" ht="12" customHeight="1">
      <c r="A91" s="125"/>
      <c r="B91" s="779" t="s">
        <v>580</v>
      </c>
      <c r="C91" s="763">
        <f>'[19]RSD Members &amp; At-Risk by Site'!$X$44</f>
        <v>372</v>
      </c>
      <c r="D91" s="763">
        <f>'[25]1_RSD Members &amp; At-Risk By Site'!$W$41</f>
        <v>369</v>
      </c>
      <c r="E91" s="820">
        <f t="shared" si="7"/>
        <v>-3</v>
      </c>
      <c r="F91" s="1061">
        <f t="shared" si="8"/>
        <v>-0.008064516129032258</v>
      </c>
      <c r="G91" s="1210">
        <f t="shared" si="9"/>
        <v>0</v>
      </c>
      <c r="H91" s="1077">
        <f>'Table 5B1_RSD_Orleans'!D15</f>
        <v>3253.87339114165</v>
      </c>
      <c r="I91" s="1093">
        <f>'Table 5B1_RSD_Orleans'!H15+'Table 5B1_RSD_Orleans'!L15</f>
        <v>204.0275</v>
      </c>
      <c r="J91" s="1077">
        <f>'Table 5B1_RSD_Orleans'!Q15</f>
        <v>83.82905982905983</v>
      </c>
      <c r="K91" s="1077">
        <f t="shared" si="10"/>
        <v>3541.72995097071</v>
      </c>
      <c r="L91" s="1076">
        <f t="shared" si="11"/>
        <v>1770.864975485355</v>
      </c>
      <c r="M91" s="1117">
        <f t="shared" si="12"/>
        <v>0</v>
      </c>
    </row>
    <row r="92" spans="1:13" s="95" customFormat="1" ht="12" customHeight="1">
      <c r="A92" s="124"/>
      <c r="B92" s="778" t="s">
        <v>581</v>
      </c>
      <c r="C92" s="762">
        <f>'[19]RSD Members &amp; At-Risk by Site'!$X$45</f>
        <v>738</v>
      </c>
      <c r="D92" s="762">
        <f>'[25]1_RSD Members &amp; At-Risk By Site'!$W$42</f>
        <v>737</v>
      </c>
      <c r="E92" s="418">
        <f t="shared" si="7"/>
        <v>-1</v>
      </c>
      <c r="F92" s="1060">
        <f t="shared" si="8"/>
        <v>-0.0013550135501355014</v>
      </c>
      <c r="G92" s="1209">
        <f t="shared" si="9"/>
        <v>0</v>
      </c>
      <c r="H92" s="477">
        <f>'Table 5B1_RSD_Orleans'!D16</f>
        <v>3253.87339114165</v>
      </c>
      <c r="I92" s="1092">
        <f>'Table 5B1_RSD_Orleans'!H16+'Table 5B1_RSD_Orleans'!L16</f>
        <v>346.5087108013937</v>
      </c>
      <c r="J92" s="477">
        <f>'Table 5B1_RSD_Orleans'!Q16</f>
        <v>118.03473227206946</v>
      </c>
      <c r="K92" s="477">
        <f t="shared" si="10"/>
        <v>3718.416834215113</v>
      </c>
      <c r="L92" s="1076">
        <f t="shared" si="11"/>
        <v>1859.2084171075564</v>
      </c>
      <c r="M92" s="1116">
        <f t="shared" si="12"/>
        <v>0</v>
      </c>
    </row>
    <row r="93" spans="1:13" s="95" customFormat="1" ht="12" customHeight="1">
      <c r="A93" s="124"/>
      <c r="B93" s="778" t="s">
        <v>582</v>
      </c>
      <c r="C93" s="762">
        <f>'[19]RSD Members &amp; At-Risk by Site'!$X$52</f>
        <v>431</v>
      </c>
      <c r="D93" s="762">
        <f>'[25]1_RSD Members &amp; At-Risk By Site'!$W$49</f>
        <v>431</v>
      </c>
      <c r="E93" s="418">
        <f t="shared" si="7"/>
        <v>0</v>
      </c>
      <c r="F93" s="1060">
        <f t="shared" si="8"/>
        <v>0</v>
      </c>
      <c r="G93" s="1209">
        <f t="shared" si="9"/>
        <v>0</v>
      </c>
      <c r="H93" s="477">
        <f>'Table 5B1_RSD_Orleans'!D17</f>
        <v>3253.87339114165</v>
      </c>
      <c r="I93" s="1092">
        <f>'Table 5B1_RSD_Orleans'!H17+'Table 5B1_RSD_Orleans'!L17</f>
        <v>287.6796338672769</v>
      </c>
      <c r="J93" s="477">
        <f>'Table 5B1_RSD_Orleans'!Q17</f>
        <v>119.30684931506849</v>
      </c>
      <c r="K93" s="477">
        <f t="shared" si="10"/>
        <v>3660.8598743239954</v>
      </c>
      <c r="L93" s="1076">
        <f t="shared" si="11"/>
        <v>1830.4299371619977</v>
      </c>
      <c r="M93" s="1116">
        <f t="shared" si="12"/>
        <v>0</v>
      </c>
    </row>
    <row r="94" spans="1:13" s="95" customFormat="1" ht="12" customHeight="1">
      <c r="A94" s="124"/>
      <c r="B94" s="778" t="s">
        <v>583</v>
      </c>
      <c r="C94" s="762">
        <f>'[19]RSD Members &amp; At-Risk by Site'!$X$51</f>
        <v>857</v>
      </c>
      <c r="D94" s="762">
        <f>'[25]1_RSD Members &amp; At-Risk By Site'!$W$48</f>
        <v>837</v>
      </c>
      <c r="E94" s="418">
        <f t="shared" si="7"/>
        <v>-20</v>
      </c>
      <c r="F94" s="1060">
        <f t="shared" si="8"/>
        <v>-0.023337222870478413</v>
      </c>
      <c r="G94" s="1209">
        <f t="shared" si="9"/>
        <v>0</v>
      </c>
      <c r="H94" s="477">
        <f>'Table 5B1_RSD_Orleans'!D18</f>
        <v>3253.87339114165</v>
      </c>
      <c r="I94" s="1092">
        <f>'Table 5B1_RSD_Orleans'!H18+'Table 5B1_RSD_Orleans'!L18</f>
        <v>220.36469221835074</v>
      </c>
      <c r="J94" s="477">
        <f>'Table 5B1_RSD_Orleans'!Q18</f>
        <v>59.33059788980071</v>
      </c>
      <c r="K94" s="477">
        <f t="shared" si="10"/>
        <v>3533.568681249801</v>
      </c>
      <c r="L94" s="1076">
        <f t="shared" si="11"/>
        <v>1766.7843406249006</v>
      </c>
      <c r="M94" s="1116">
        <f t="shared" si="12"/>
        <v>0</v>
      </c>
    </row>
    <row r="95" spans="1:13" s="95" customFormat="1" ht="12" customHeight="1">
      <c r="A95" s="124"/>
      <c r="B95" s="778" t="s">
        <v>584</v>
      </c>
      <c r="C95" s="762">
        <f>'[19]RSD Members &amp; At-Risk by Site'!$X$50</f>
        <v>533</v>
      </c>
      <c r="D95" s="762">
        <f>'[25]1_RSD Members &amp; At-Risk By Site'!$W$47</f>
        <v>543</v>
      </c>
      <c r="E95" s="418">
        <f t="shared" si="7"/>
        <v>10</v>
      </c>
      <c r="F95" s="1060">
        <f t="shared" si="8"/>
        <v>0.01876172607879925</v>
      </c>
      <c r="G95" s="1209">
        <f t="shared" si="9"/>
        <v>10</v>
      </c>
      <c r="H95" s="477">
        <f>'Table 5B1_RSD_Orleans'!D19</f>
        <v>3253.87339114165</v>
      </c>
      <c r="I95" s="1092">
        <f>'Table 5B1_RSD_Orleans'!H19+'Table 5B1_RSD_Orleans'!L19</f>
        <v>522.2659574468084</v>
      </c>
      <c r="J95" s="477">
        <f>'Table 5B1_RSD_Orleans'!Q19</f>
        <v>168.8438818565401</v>
      </c>
      <c r="K95" s="477">
        <f t="shared" si="10"/>
        <v>3944.9832304449983</v>
      </c>
      <c r="L95" s="1076">
        <f t="shared" si="11"/>
        <v>1972.4916152224991</v>
      </c>
      <c r="M95" s="1116">
        <f t="shared" si="12"/>
        <v>19724.916152224992</v>
      </c>
    </row>
    <row r="96" spans="1:13" s="95" customFormat="1" ht="12" customHeight="1">
      <c r="A96" s="125"/>
      <c r="B96" s="779" t="s">
        <v>738</v>
      </c>
      <c r="C96" s="763">
        <f>'[19]RSD Members &amp; At-Risk by Site'!$X$49</f>
        <v>411</v>
      </c>
      <c r="D96" s="763">
        <f>'[25]1_RSD Members &amp; At-Risk By Site'!$W$46</f>
        <v>413</v>
      </c>
      <c r="E96" s="820">
        <f t="shared" si="7"/>
        <v>2</v>
      </c>
      <c r="F96" s="1061">
        <f t="shared" si="8"/>
        <v>0.004866180048661801</v>
      </c>
      <c r="G96" s="1210">
        <f t="shared" si="9"/>
        <v>0</v>
      </c>
      <c r="H96" s="1077">
        <f>'Table 5B1_RSD_Orleans'!D20</f>
        <v>3253.87339114165</v>
      </c>
      <c r="I96" s="1093">
        <f>'Table 5B1_RSD_Orleans'!H20+'Table 5B1_RSD_Orleans'!L20</f>
        <v>302.2557544757033</v>
      </c>
      <c r="J96" s="1077">
        <f>'Table 5B1_RSD_Orleans'!Q20</f>
        <v>146.74300254452928</v>
      </c>
      <c r="K96" s="1077">
        <f t="shared" si="10"/>
        <v>3702.8721481618823</v>
      </c>
      <c r="L96" s="1076">
        <f t="shared" si="11"/>
        <v>1851.4360740809411</v>
      </c>
      <c r="M96" s="1117">
        <f t="shared" si="12"/>
        <v>0</v>
      </c>
    </row>
    <row r="97" spans="1:13" s="95" customFormat="1" ht="12" customHeight="1">
      <c r="A97" s="124"/>
      <c r="B97" s="778" t="s">
        <v>586</v>
      </c>
      <c r="C97" s="762">
        <f>'[19]RSD Members &amp; At-Risk by Site'!$X$48</f>
        <v>574</v>
      </c>
      <c r="D97" s="762">
        <f>'[25]1_RSD Members &amp; At-Risk By Site'!$W$45</f>
        <v>577</v>
      </c>
      <c r="E97" s="418">
        <f t="shared" si="7"/>
        <v>3</v>
      </c>
      <c r="F97" s="1060">
        <f t="shared" si="8"/>
        <v>0.005226480836236934</v>
      </c>
      <c r="G97" s="1209">
        <f t="shared" si="9"/>
        <v>0</v>
      </c>
      <c r="H97" s="477">
        <f>'Table 5B1_RSD_Orleans'!D21</f>
        <v>3253.87339114165</v>
      </c>
      <c r="I97" s="1092">
        <f>'Table 5B1_RSD_Orleans'!H21+'Table 5B1_RSD_Orleans'!L21</f>
        <v>281.2543021032505</v>
      </c>
      <c r="J97" s="477">
        <f>'Table 5B1_RSD_Orleans'!Q21</f>
        <v>93.30810810810812</v>
      </c>
      <c r="K97" s="477">
        <f t="shared" si="10"/>
        <v>3628.4358013530086</v>
      </c>
      <c r="L97" s="1076">
        <f t="shared" si="11"/>
        <v>1814.2179006765043</v>
      </c>
      <c r="M97" s="1116">
        <f t="shared" si="12"/>
        <v>0</v>
      </c>
    </row>
    <row r="98" spans="1:13" ht="12" customHeight="1">
      <c r="A98" s="124"/>
      <c r="B98" s="778" t="s">
        <v>587</v>
      </c>
      <c r="C98" s="762">
        <f>'[19]RSD Members &amp; At-Risk by Site'!$X$47</f>
        <v>579</v>
      </c>
      <c r="D98" s="762">
        <f>'[25]1_RSD Members &amp; At-Risk By Site'!$W$44</f>
        <v>580</v>
      </c>
      <c r="E98" s="418">
        <f t="shared" si="7"/>
        <v>1</v>
      </c>
      <c r="F98" s="1060">
        <f t="shared" si="8"/>
        <v>0.0017271157167530224</v>
      </c>
      <c r="G98" s="1209">
        <f t="shared" si="9"/>
        <v>0</v>
      </c>
      <c r="H98" s="477">
        <f>'Table 5B1_RSD_Orleans'!D22</f>
        <v>3253.87339114165</v>
      </c>
      <c r="I98" s="1092">
        <f>'Table 5B1_RSD_Orleans'!H22+'Table 5B1_RSD_Orleans'!L22</f>
        <v>313.9794238683128</v>
      </c>
      <c r="J98" s="477">
        <f>'Table 5B1_RSD_Orleans'!Q22</f>
        <v>52.04251700680272</v>
      </c>
      <c r="K98" s="477">
        <f t="shared" si="10"/>
        <v>3619.8953320167657</v>
      </c>
      <c r="L98" s="1076">
        <f t="shared" si="11"/>
        <v>1809.9476660083828</v>
      </c>
      <c r="M98" s="1116">
        <f t="shared" si="12"/>
        <v>0</v>
      </c>
    </row>
    <row r="99" spans="1:13" ht="12" customHeight="1">
      <c r="A99" s="124"/>
      <c r="B99" s="778" t="s">
        <v>884</v>
      </c>
      <c r="C99" s="762">
        <f>'[19]RSD Members &amp; At-Risk by Site'!$X$53</f>
        <v>347</v>
      </c>
      <c r="D99" s="762">
        <f>'[25]1_RSD Members &amp; At-Risk By Site'!$W$50</f>
        <v>336</v>
      </c>
      <c r="E99" s="418">
        <f t="shared" si="7"/>
        <v>-11</v>
      </c>
      <c r="F99" s="1060">
        <f t="shared" si="8"/>
        <v>-0.03170028818443804</v>
      </c>
      <c r="G99" s="1209">
        <f t="shared" si="9"/>
        <v>0</v>
      </c>
      <c r="H99" s="477">
        <f>'Table 5B1_RSD_Orleans'!D23</f>
        <v>3253.87339114165</v>
      </c>
      <c r="I99" s="1092">
        <f>'Table 5B1_RSD_Orleans'!H23+'Table 5B1_RSD_Orleans'!L23</f>
        <v>307.73891625615767</v>
      </c>
      <c r="J99" s="477">
        <f>'Table 5B1_RSD_Orleans'!Q23</f>
        <v>287.59774436090225</v>
      </c>
      <c r="K99" s="477">
        <f t="shared" si="10"/>
        <v>3849.2100517587096</v>
      </c>
      <c r="L99" s="1076">
        <f t="shared" si="11"/>
        <v>1924.6050258793548</v>
      </c>
      <c r="M99" s="1116">
        <f t="shared" si="12"/>
        <v>0</v>
      </c>
    </row>
    <row r="100" spans="1:13" ht="12" customHeight="1">
      <c r="A100" s="124"/>
      <c r="B100" s="778" t="s">
        <v>885</v>
      </c>
      <c r="C100" s="762">
        <f>'[19]RSD Members &amp; At-Risk by Site'!$X$89</f>
        <v>348</v>
      </c>
      <c r="D100" s="762">
        <f>'[25]1_RSD Members &amp; At-Risk By Site'!$W$51</f>
        <v>356</v>
      </c>
      <c r="E100" s="418">
        <f t="shared" si="7"/>
        <v>8</v>
      </c>
      <c r="F100" s="1060">
        <f t="shared" si="8"/>
        <v>0.022988505747126436</v>
      </c>
      <c r="G100" s="1209">
        <f t="shared" si="9"/>
        <v>8</v>
      </c>
      <c r="H100" s="477">
        <f>'Table 5B1_RSD_Orleans'!D24</f>
        <v>3253.87339114165</v>
      </c>
      <c r="I100" s="1092">
        <f>'Table 5B1_RSD_Orleans'!H24+'Table 5B1_RSD_Orleans'!L24</f>
        <v>329.15141955835963</v>
      </c>
      <c r="J100" s="477">
        <f>'Table 5B1_RSD_Orleans'!Q24</f>
        <v>100.21221864951768</v>
      </c>
      <c r="K100" s="477">
        <f t="shared" si="10"/>
        <v>3683.237029349527</v>
      </c>
      <c r="L100" s="1076">
        <f t="shared" si="11"/>
        <v>1841.6185146747634</v>
      </c>
      <c r="M100" s="1116">
        <f t="shared" si="12"/>
        <v>14732.948117398108</v>
      </c>
    </row>
    <row r="101" spans="1:13" ht="12" customHeight="1">
      <c r="A101" s="125"/>
      <c r="B101" s="779" t="s">
        <v>590</v>
      </c>
      <c r="C101" s="763">
        <f>'[19]RSD Members &amp; At-Risk by Site'!$X$91</f>
        <v>439</v>
      </c>
      <c r="D101" s="763">
        <f>'[25]1_RSD Members &amp; At-Risk By Site'!$W$53</f>
        <v>441</v>
      </c>
      <c r="E101" s="820">
        <f t="shared" si="7"/>
        <v>2</v>
      </c>
      <c r="F101" s="1061">
        <f t="shared" si="8"/>
        <v>0.004555808656036446</v>
      </c>
      <c r="G101" s="1210">
        <f t="shared" si="9"/>
        <v>0</v>
      </c>
      <c r="H101" s="1077">
        <f>'Table 5B1_RSD_Orleans'!D25</f>
        <v>3253.87339114165</v>
      </c>
      <c r="I101" s="1093">
        <f>'Table 5B1_RSD_Orleans'!H25+'Table 5B1_RSD_Orleans'!L25</f>
        <v>305.68599033816423</v>
      </c>
      <c r="J101" s="1077">
        <f>'Table 5B1_RSD_Orleans'!Q25</f>
        <v>106.74651162790698</v>
      </c>
      <c r="K101" s="1077">
        <f t="shared" si="10"/>
        <v>3666.3058931077207</v>
      </c>
      <c r="L101" s="1076">
        <f t="shared" si="11"/>
        <v>1833.1529465538604</v>
      </c>
      <c r="M101" s="1117">
        <f t="shared" si="12"/>
        <v>0</v>
      </c>
    </row>
    <row r="102" spans="1:13" ht="12" customHeight="1">
      <c r="A102" s="124"/>
      <c r="B102" s="778" t="s">
        <v>591</v>
      </c>
      <c r="C102" s="762">
        <f>'[19]RSD Members &amp; At-Risk by Site'!$X$90</f>
        <v>333</v>
      </c>
      <c r="D102" s="762">
        <f>'[25]1_RSD Members &amp; At-Risk By Site'!$W$52</f>
        <v>332</v>
      </c>
      <c r="E102" s="418">
        <f t="shared" si="7"/>
        <v>-1</v>
      </c>
      <c r="F102" s="1060">
        <f t="shared" si="8"/>
        <v>-0.003003003003003003</v>
      </c>
      <c r="G102" s="1209">
        <f t="shared" si="9"/>
        <v>0</v>
      </c>
      <c r="H102" s="477">
        <f>'Table 5B1_RSD_Orleans'!D26</f>
        <v>3253.87339114165</v>
      </c>
      <c r="I102" s="1092">
        <f>'Table 5B1_RSD_Orleans'!H26+'Table 5B1_RSD_Orleans'!L26</f>
        <v>234.28070175438597</v>
      </c>
      <c r="J102" s="477">
        <f>'Table 5B1_RSD_Orleans'!Q26</f>
        <v>97.30708661417323</v>
      </c>
      <c r="K102" s="477">
        <f t="shared" si="10"/>
        <v>3585.461179510209</v>
      </c>
      <c r="L102" s="1076">
        <f t="shared" si="11"/>
        <v>1792.7305897551046</v>
      </c>
      <c r="M102" s="1116">
        <f t="shared" si="12"/>
        <v>0</v>
      </c>
    </row>
    <row r="103" spans="1:13" ht="12" customHeight="1">
      <c r="A103" s="124"/>
      <c r="B103" s="778" t="s">
        <v>592</v>
      </c>
      <c r="C103" s="762">
        <f>'[19]RSD Members &amp; At-Risk by Site'!$X$92</f>
        <v>288</v>
      </c>
      <c r="D103" s="762">
        <f>'[25]1_RSD Members &amp; At-Risk By Site'!$W$54</f>
        <v>278</v>
      </c>
      <c r="E103" s="418">
        <f t="shared" si="7"/>
        <v>-10</v>
      </c>
      <c r="F103" s="1060">
        <f t="shared" si="8"/>
        <v>-0.034722222222222224</v>
      </c>
      <c r="G103" s="1209">
        <f t="shared" si="9"/>
        <v>0</v>
      </c>
      <c r="H103" s="477">
        <f>'Table 5B1_RSD_Orleans'!D27</f>
        <v>3253.87339114165</v>
      </c>
      <c r="I103" s="1092">
        <f>'Table 5B1_RSD_Orleans'!H27+'Table 5B1_RSD_Orleans'!L27</f>
        <v>186.55172413793105</v>
      </c>
      <c r="J103" s="477">
        <f>'Table 5B1_RSD_Orleans'!Q27</f>
        <v>93.61931818181819</v>
      </c>
      <c r="K103" s="477">
        <f t="shared" si="10"/>
        <v>3534.044433461399</v>
      </c>
      <c r="L103" s="1076">
        <f t="shared" si="11"/>
        <v>1767.0222167306995</v>
      </c>
      <c r="M103" s="1116">
        <f t="shared" si="12"/>
        <v>0</v>
      </c>
    </row>
    <row r="104" spans="1:13" ht="12" customHeight="1">
      <c r="A104" s="124"/>
      <c r="B104" s="778" t="s">
        <v>593</v>
      </c>
      <c r="C104" s="762">
        <f>'[19]RSD Members &amp; At-Risk by Site'!$X$94</f>
        <v>460</v>
      </c>
      <c r="D104" s="762">
        <f>'[25]1_RSD Members &amp; At-Risk By Site'!$W$56</f>
        <v>456</v>
      </c>
      <c r="E104" s="418">
        <f t="shared" si="7"/>
        <v>-4</v>
      </c>
      <c r="F104" s="1060">
        <f t="shared" si="8"/>
        <v>-0.008695652173913044</v>
      </c>
      <c r="G104" s="1209">
        <f t="shared" si="9"/>
        <v>0</v>
      </c>
      <c r="H104" s="477">
        <f>'Table 5B1_RSD_Orleans'!D28</f>
        <v>3253.87339114165</v>
      </c>
      <c r="I104" s="1092">
        <f>'Table 5B1_RSD_Orleans'!H28+'Table 5B1_RSD_Orleans'!L28</f>
        <v>305.54037267080747</v>
      </c>
      <c r="J104" s="477">
        <f>'Table 5B1_RSD_Orleans'!Q28</f>
        <v>134.9502487562189</v>
      </c>
      <c r="K104" s="477">
        <f t="shared" si="10"/>
        <v>3694.364012568676</v>
      </c>
      <c r="L104" s="1076">
        <f t="shared" si="11"/>
        <v>1847.182006284338</v>
      </c>
      <c r="M104" s="1116">
        <f t="shared" si="12"/>
        <v>0</v>
      </c>
    </row>
    <row r="105" spans="1:13" ht="12" customHeight="1">
      <c r="A105" s="124"/>
      <c r="B105" s="778" t="s">
        <v>739</v>
      </c>
      <c r="C105" s="762">
        <f>'[19]RSD Members &amp; At-Risk by Site'!$X$95</f>
        <v>241</v>
      </c>
      <c r="D105" s="762">
        <f>'[25]1_RSD Members &amp; At-Risk By Site'!$W$57</f>
        <v>241</v>
      </c>
      <c r="E105" s="418">
        <f t="shared" si="7"/>
        <v>0</v>
      </c>
      <c r="F105" s="1060">
        <f t="shared" si="8"/>
        <v>0</v>
      </c>
      <c r="G105" s="1209">
        <f t="shared" si="9"/>
        <v>0</v>
      </c>
      <c r="H105" s="477">
        <f>'Table 5B1_RSD_Orleans'!D29</f>
        <v>3253.87339114165</v>
      </c>
      <c r="I105" s="1092">
        <f>'Table 5B1_RSD_Orleans'!H29+'Table 5B1_RSD_Orleans'!L29</f>
        <v>386.3863636363636</v>
      </c>
      <c r="J105" s="477">
        <f>'Table 5B1_RSD_Orleans'!Q29</f>
        <v>105.2251655629139</v>
      </c>
      <c r="K105" s="477">
        <f t="shared" si="10"/>
        <v>3745.484920340927</v>
      </c>
      <c r="L105" s="1076">
        <f t="shared" si="11"/>
        <v>1872.7424601704636</v>
      </c>
      <c r="M105" s="1116">
        <f t="shared" si="12"/>
        <v>0</v>
      </c>
    </row>
    <row r="106" spans="1:13" ht="12" customHeight="1">
      <c r="A106" s="125"/>
      <c r="B106" s="779" t="s">
        <v>740</v>
      </c>
      <c r="C106" s="763">
        <f>'[19]RSD Members &amp; At-Risk by Site'!$X$46</f>
        <v>487</v>
      </c>
      <c r="D106" s="763">
        <f>'[25]1_RSD Members &amp; At-Risk By Site'!$W$43</f>
        <v>485</v>
      </c>
      <c r="E106" s="820">
        <f t="shared" si="7"/>
        <v>-2</v>
      </c>
      <c r="F106" s="1061">
        <f t="shared" si="8"/>
        <v>-0.004106776180698152</v>
      </c>
      <c r="G106" s="1210">
        <f t="shared" si="9"/>
        <v>0</v>
      </c>
      <c r="H106" s="1077">
        <f>'Table 5B1_RSD_Orleans'!D30</f>
        <v>3253.87339114165</v>
      </c>
      <c r="I106" s="1093">
        <f>'Table 5B1_RSD_Orleans'!H30+'Table 5B1_RSD_Orleans'!L30</f>
        <v>181.8430913348946</v>
      </c>
      <c r="J106" s="1077">
        <f>'Table 5B1_RSD_Orleans'!Q30</f>
        <v>100.1875</v>
      </c>
      <c r="K106" s="1077">
        <f t="shared" si="10"/>
        <v>3535.9039824765446</v>
      </c>
      <c r="L106" s="1076">
        <f t="shared" si="11"/>
        <v>1767.9519912382723</v>
      </c>
      <c r="M106" s="1117">
        <f t="shared" si="12"/>
        <v>0</v>
      </c>
    </row>
    <row r="107" spans="1:13" ht="12" customHeight="1">
      <c r="A107" s="124"/>
      <c r="B107" s="778" t="s">
        <v>595</v>
      </c>
      <c r="C107" s="762">
        <f>'[19]RSD Members &amp; At-Risk by Site'!$X$41</f>
        <v>491</v>
      </c>
      <c r="D107" s="762">
        <f>'[25]1_RSD Members &amp; At-Risk By Site'!$W$37</f>
        <v>486</v>
      </c>
      <c r="E107" s="418">
        <f t="shared" si="7"/>
        <v>-5</v>
      </c>
      <c r="F107" s="1060">
        <f t="shared" si="8"/>
        <v>-0.010183299389002037</v>
      </c>
      <c r="G107" s="1209">
        <f t="shared" si="9"/>
        <v>0</v>
      </c>
      <c r="H107" s="477">
        <f>'Table 5B1_RSD_Orleans'!D31</f>
        <v>3253.87339114165</v>
      </c>
      <c r="I107" s="1092">
        <f>'Table 5B1_RSD_Orleans'!H31+'Table 5B1_RSD_Orleans'!L31</f>
        <v>246.13033707865168</v>
      </c>
      <c r="J107" s="477">
        <f>'Table 5B1_RSD_Orleans'!Q31</f>
        <v>120.31623931623932</v>
      </c>
      <c r="K107" s="477">
        <f t="shared" si="10"/>
        <v>3620.319967536541</v>
      </c>
      <c r="L107" s="1076">
        <f t="shared" si="11"/>
        <v>1810.1599837682704</v>
      </c>
      <c r="M107" s="1116">
        <f t="shared" si="12"/>
        <v>0</v>
      </c>
    </row>
    <row r="108" spans="1:13" ht="12" customHeight="1">
      <c r="A108" s="124"/>
      <c r="B108" s="778" t="s">
        <v>596</v>
      </c>
      <c r="C108" s="762">
        <f>'[19]RSD Members &amp; At-Risk by Site'!$X$39</f>
        <v>488</v>
      </c>
      <c r="D108" s="762">
        <f>'[25]1_RSD Members &amp; At-Risk By Site'!$W$35</f>
        <v>490</v>
      </c>
      <c r="E108" s="418">
        <f t="shared" si="7"/>
        <v>2</v>
      </c>
      <c r="F108" s="1060">
        <f t="shared" si="8"/>
        <v>0.004098360655737705</v>
      </c>
      <c r="G108" s="1209">
        <f t="shared" si="9"/>
        <v>0</v>
      </c>
      <c r="H108" s="477">
        <f>'Table 5B1_RSD_Orleans'!D32</f>
        <v>3253.87339114165</v>
      </c>
      <c r="I108" s="1092">
        <f>'Table 5B1_RSD_Orleans'!H32+'Table 5B1_RSD_Orleans'!L32</f>
        <v>256.88034188034186</v>
      </c>
      <c r="J108" s="477">
        <f>'Table 5B1_RSD_Orleans'!Q32</f>
        <v>110.45413870246085</v>
      </c>
      <c r="K108" s="477">
        <f t="shared" si="10"/>
        <v>3621.2078717244526</v>
      </c>
      <c r="L108" s="1076">
        <f t="shared" si="11"/>
        <v>1810.6039358622263</v>
      </c>
      <c r="M108" s="1116">
        <f t="shared" si="12"/>
        <v>0</v>
      </c>
    </row>
    <row r="109" spans="1:13" ht="12" customHeight="1">
      <c r="A109" s="124"/>
      <c r="B109" s="778" t="s">
        <v>597</v>
      </c>
      <c r="C109" s="762">
        <f>'[19]RSD Members &amp; At-Risk by Site'!$X$40</f>
        <v>525</v>
      </c>
      <c r="D109" s="762">
        <f>'[25]1_RSD Members &amp; At-Risk By Site'!$W$36</f>
        <v>525</v>
      </c>
      <c r="E109" s="418">
        <f t="shared" si="7"/>
        <v>0</v>
      </c>
      <c r="F109" s="1060">
        <f t="shared" si="8"/>
        <v>0</v>
      </c>
      <c r="G109" s="1209">
        <f t="shared" si="9"/>
        <v>0</v>
      </c>
      <c r="H109" s="477">
        <f>'Table 5B1_RSD_Orleans'!D33</f>
        <v>3253.87339114165</v>
      </c>
      <c r="I109" s="1092">
        <f>'Table 5B1_RSD_Orleans'!H33+'Table 5B1_RSD_Orleans'!L33</f>
        <v>296.7741935483871</v>
      </c>
      <c r="J109" s="477">
        <f>'Table 5B1_RSD_Orleans'!Q33</f>
        <v>99.07908163265306</v>
      </c>
      <c r="K109" s="477">
        <f t="shared" si="10"/>
        <v>3649.7266663226897</v>
      </c>
      <c r="L109" s="1076">
        <f t="shared" si="11"/>
        <v>1824.8633331613448</v>
      </c>
      <c r="M109" s="1116">
        <f t="shared" si="12"/>
        <v>0</v>
      </c>
    </row>
    <row r="110" spans="1:13" ht="12" customHeight="1">
      <c r="A110" s="124"/>
      <c r="B110" s="778" t="s">
        <v>883</v>
      </c>
      <c r="C110" s="762">
        <f>'[19]RSD Members &amp; At-Risk by Site'!$X$37</f>
        <v>441</v>
      </c>
      <c r="D110" s="762">
        <f>'[25]1_RSD Members &amp; At-Risk By Site'!$W$33</f>
        <v>426</v>
      </c>
      <c r="E110" s="418">
        <f t="shared" si="7"/>
        <v>-15</v>
      </c>
      <c r="F110" s="1060">
        <f t="shared" si="8"/>
        <v>-0.034013605442176874</v>
      </c>
      <c r="G110" s="1209">
        <f t="shared" si="9"/>
        <v>0</v>
      </c>
      <c r="H110" s="477">
        <f>'Table 5B1_RSD_Orleans'!D34</f>
        <v>3253.87339114165</v>
      </c>
      <c r="I110" s="1092">
        <f>'Table 5B1_RSD_Orleans'!H34+'Table 5B1_RSD_Orleans'!L34</f>
        <v>210.6</v>
      </c>
      <c r="J110" s="477">
        <f>'Table 5B1_RSD_Orleans'!Q34</f>
        <v>95.79651162790698</v>
      </c>
      <c r="K110" s="477">
        <f t="shared" si="10"/>
        <v>3560.2699027695567</v>
      </c>
      <c r="L110" s="1076">
        <f t="shared" si="11"/>
        <v>1780.1349513847783</v>
      </c>
      <c r="M110" s="1116">
        <f t="shared" si="12"/>
        <v>0</v>
      </c>
    </row>
    <row r="111" spans="1:13" ht="12" customHeight="1">
      <c r="A111" s="125"/>
      <c r="B111" s="779" t="s">
        <v>887</v>
      </c>
      <c r="C111" s="763">
        <f>'[19]RSD Members &amp; At-Risk by Site'!$X$38</f>
        <v>332</v>
      </c>
      <c r="D111" s="763">
        <f>'[25]1_RSD Members &amp; At-Risk By Site'!$W$34</f>
        <v>333</v>
      </c>
      <c r="E111" s="820">
        <f t="shared" si="7"/>
        <v>1</v>
      </c>
      <c r="F111" s="1061">
        <f t="shared" si="8"/>
        <v>0.0030120481927710845</v>
      </c>
      <c r="G111" s="1210">
        <f t="shared" si="9"/>
        <v>0</v>
      </c>
      <c r="H111" s="1077">
        <f>'Table 5B1_RSD_Orleans'!D35</f>
        <v>3253.87339114165</v>
      </c>
      <c r="I111" s="1093">
        <f>'Table 5B1_RSD_Orleans'!H35+'Table 5B1_RSD_Orleans'!L35</f>
        <v>242.69781931464175</v>
      </c>
      <c r="J111" s="1077">
        <f>'Table 5B1_RSD_Orleans'!Q35</f>
        <v>87.83283582089553</v>
      </c>
      <c r="K111" s="1077">
        <f t="shared" si="10"/>
        <v>3584.4040462771873</v>
      </c>
      <c r="L111" s="1076">
        <f t="shared" si="11"/>
        <v>1792.2020231385936</v>
      </c>
      <c r="M111" s="1117">
        <f t="shared" si="12"/>
        <v>0</v>
      </c>
    </row>
    <row r="112" spans="1:13" ht="12" customHeight="1">
      <c r="A112" s="124"/>
      <c r="B112" s="778" t="s">
        <v>882</v>
      </c>
      <c r="C112" s="762">
        <f>'[19]RSD Members &amp; At-Risk by Site'!$X$34</f>
        <v>151</v>
      </c>
      <c r="D112" s="762">
        <f>'[25]1_RSD Members &amp; At-Risk By Site'!$W$30</f>
        <v>161</v>
      </c>
      <c r="E112" s="418">
        <f t="shared" si="7"/>
        <v>10</v>
      </c>
      <c r="F112" s="1060">
        <f t="shared" si="8"/>
        <v>0.06622516556291391</v>
      </c>
      <c r="G112" s="1209">
        <f t="shared" si="9"/>
        <v>10</v>
      </c>
      <c r="H112" s="477">
        <f>'Table 5B1_RSD_Orleans'!D36</f>
        <v>3253.87339114165</v>
      </c>
      <c r="I112" s="1092">
        <f>'Table 5B1_RSD_Orleans'!H36+'Table 5B1_RSD_Orleans'!L36</f>
        <v>329.84000000000003</v>
      </c>
      <c r="J112" s="477">
        <f>'Table 5B1_RSD_Orleans'!Q36</f>
        <v>141.34939759036143</v>
      </c>
      <c r="K112" s="477">
        <f t="shared" si="10"/>
        <v>3725.0627887320115</v>
      </c>
      <c r="L112" s="1076">
        <f t="shared" si="11"/>
        <v>1862.5313943660058</v>
      </c>
      <c r="M112" s="1116">
        <f t="shared" si="12"/>
        <v>18625.313943660058</v>
      </c>
    </row>
    <row r="113" spans="1:13" ht="12" customHeight="1">
      <c r="A113" s="124"/>
      <c r="B113" s="778" t="s">
        <v>600</v>
      </c>
      <c r="C113" s="762">
        <f>'[19]RSD Members &amp; At-Risk by Site'!$X$31</f>
        <v>134</v>
      </c>
      <c r="D113" s="762">
        <f>'[25]1_RSD Members &amp; At-Risk By Site'!$W$27</f>
        <v>135</v>
      </c>
      <c r="E113" s="418">
        <f t="shared" si="7"/>
        <v>1</v>
      </c>
      <c r="F113" s="1060">
        <f t="shared" si="8"/>
        <v>0.007462686567164179</v>
      </c>
      <c r="G113" s="1209">
        <f t="shared" si="9"/>
        <v>0</v>
      </c>
      <c r="H113" s="477">
        <f>'Table 5B1_RSD_Orleans'!D37</f>
        <v>3253.87339114165</v>
      </c>
      <c r="I113" s="1092">
        <f>'Table 5B1_RSD_Orleans'!H37+'Table 5B1_RSD_Orleans'!L37</f>
        <v>329.84000000000003</v>
      </c>
      <c r="J113" s="477">
        <f>'Table 5B1_RSD_Orleans'!Q37</f>
        <v>284.462962962963</v>
      </c>
      <c r="K113" s="477">
        <f t="shared" si="10"/>
        <v>3868.176354104613</v>
      </c>
      <c r="L113" s="1076">
        <f t="shared" si="11"/>
        <v>1934.0881770523065</v>
      </c>
      <c r="M113" s="1116">
        <f t="shared" si="12"/>
        <v>0</v>
      </c>
    </row>
    <row r="114" spans="1:13" ht="12" customHeight="1">
      <c r="A114" s="124"/>
      <c r="B114" s="778" t="s">
        <v>601</v>
      </c>
      <c r="C114" s="762">
        <f>'[19]RSD Members &amp; At-Risk by Site'!$X$33</f>
        <v>168</v>
      </c>
      <c r="D114" s="762">
        <f>'[25]1_RSD Members &amp; At-Risk By Site'!$W$29</f>
        <v>162</v>
      </c>
      <c r="E114" s="418">
        <f t="shared" si="7"/>
        <v>-6</v>
      </c>
      <c r="F114" s="1060">
        <f t="shared" si="8"/>
        <v>-0.03571428571428571</v>
      </c>
      <c r="G114" s="1209">
        <f t="shared" si="9"/>
        <v>0</v>
      </c>
      <c r="H114" s="477">
        <f>'Table 5B1_RSD_Orleans'!D38</f>
        <v>3253.87339114165</v>
      </c>
      <c r="I114" s="1092">
        <f>'Table 5B1_RSD_Orleans'!H38+'Table 5B1_RSD_Orleans'!L38</f>
        <v>329.84000000000003</v>
      </c>
      <c r="J114" s="477">
        <f>'Table 5B1_RSD_Orleans'!Q38</f>
        <v>101.45689655172414</v>
      </c>
      <c r="K114" s="477">
        <f t="shared" si="10"/>
        <v>3685.170287693374</v>
      </c>
      <c r="L114" s="1076">
        <f t="shared" si="11"/>
        <v>1842.585143846687</v>
      </c>
      <c r="M114" s="1116">
        <f t="shared" si="12"/>
        <v>0</v>
      </c>
    </row>
    <row r="115" spans="1:13" ht="12" customHeight="1">
      <c r="A115" s="124"/>
      <c r="B115" s="780" t="s">
        <v>602</v>
      </c>
      <c r="C115" s="761">
        <f>'[19]RSD Members &amp; At-Risk by Site'!$X$32</f>
        <v>296</v>
      </c>
      <c r="D115" s="761">
        <f>'[25]1_RSD Members &amp; At-Risk By Site'!$W$28</f>
        <v>303</v>
      </c>
      <c r="E115" s="1046">
        <f t="shared" si="7"/>
        <v>7</v>
      </c>
      <c r="F115" s="1062">
        <f t="shared" si="8"/>
        <v>0.02364864864864865</v>
      </c>
      <c r="G115" s="1209">
        <f t="shared" si="9"/>
        <v>7</v>
      </c>
      <c r="H115" s="1076">
        <f>'Table 5B1_RSD_Orleans'!D39</f>
        <v>3253.87339114165</v>
      </c>
      <c r="I115" s="1091">
        <f>'Table 5B1_RSD_Orleans'!H39+'Table 5B1_RSD_Orleans'!L39</f>
        <v>329.84000000000003</v>
      </c>
      <c r="J115" s="1076">
        <f>'Table 5B1_RSD_Orleans'!Q39</f>
        <v>102.57798165137615</v>
      </c>
      <c r="K115" s="1076">
        <f t="shared" si="10"/>
        <v>3686.2913727930263</v>
      </c>
      <c r="L115" s="1076">
        <f t="shared" si="11"/>
        <v>1843.1456863965132</v>
      </c>
      <c r="M115" s="1116">
        <f t="shared" si="12"/>
        <v>12902.019804775591</v>
      </c>
    </row>
    <row r="116" spans="1:13" ht="12" customHeight="1">
      <c r="A116" s="764"/>
      <c r="B116" s="779" t="s">
        <v>875</v>
      </c>
      <c r="C116" s="763">
        <f>'[19]RSD Members &amp; At-Risk by Site'!$X$93</f>
        <v>195</v>
      </c>
      <c r="D116" s="763">
        <f>'[25]1_RSD Members &amp; At-Risk By Site'!$W$55</f>
        <v>191</v>
      </c>
      <c r="E116" s="820">
        <f t="shared" si="7"/>
        <v>-4</v>
      </c>
      <c r="F116" s="1061">
        <f t="shared" si="8"/>
        <v>-0.020512820512820513</v>
      </c>
      <c r="G116" s="1210">
        <f t="shared" si="9"/>
        <v>0</v>
      </c>
      <c r="H116" s="1077">
        <f>'Table 5B1_RSD_Orleans'!D40</f>
        <v>3253.87339114165</v>
      </c>
      <c r="I116" s="1093">
        <f>'Table 5B1_RSD_Orleans'!H40+'Table 5B1_RSD_Orleans'!L40</f>
        <v>329.84000000000003</v>
      </c>
      <c r="J116" s="1077">
        <f>'Table 5B1_RSD_Orleans'!Q40</f>
        <v>99.11578947368422</v>
      </c>
      <c r="K116" s="1077">
        <f t="shared" si="10"/>
        <v>3682.8291806153343</v>
      </c>
      <c r="L116" s="1076">
        <f t="shared" si="11"/>
        <v>1841.4145903076671</v>
      </c>
      <c r="M116" s="1117">
        <f t="shared" si="12"/>
        <v>0</v>
      </c>
    </row>
    <row r="117" spans="1:13" ht="12" customHeight="1">
      <c r="A117" s="124"/>
      <c r="B117" s="778" t="s">
        <v>743</v>
      </c>
      <c r="C117" s="762">
        <f>'[19]RSD Members &amp; At-Risk by Site'!$X$36</f>
        <v>388</v>
      </c>
      <c r="D117" s="762">
        <f>'[25]1_RSD Members &amp; At-Risk By Site'!$W$32</f>
        <v>344</v>
      </c>
      <c r="E117" s="418">
        <f t="shared" si="7"/>
        <v>-44</v>
      </c>
      <c r="F117" s="1060">
        <f t="shared" si="8"/>
        <v>-0.1134020618556701</v>
      </c>
      <c r="G117" s="1209">
        <f t="shared" si="9"/>
        <v>0</v>
      </c>
      <c r="H117" s="477">
        <f>'Table 5B1_RSD_Orleans'!D41</f>
        <v>3253.87339114165</v>
      </c>
      <c r="I117" s="1092">
        <f>'Table 5B1_RSD_Orleans'!H41+'Table 5B1_RSD_Orleans'!L41</f>
        <v>329.84000000000003</v>
      </c>
      <c r="J117" s="477">
        <f>'Table 5B1_RSD_Orleans'!Q41</f>
        <v>93.62244897959184</v>
      </c>
      <c r="K117" s="477">
        <f t="shared" si="10"/>
        <v>3677.3358401212417</v>
      </c>
      <c r="L117" s="1076">
        <f t="shared" si="11"/>
        <v>1838.6679200606209</v>
      </c>
      <c r="M117" s="1116">
        <f t="shared" si="12"/>
        <v>0</v>
      </c>
    </row>
    <row r="118" spans="1:13" ht="12" customHeight="1">
      <c r="A118" s="124"/>
      <c r="B118" s="778" t="s">
        <v>605</v>
      </c>
      <c r="C118" s="762">
        <f>'[19]RSD Members &amp; At-Risk by Site'!$X$35</f>
        <v>183</v>
      </c>
      <c r="D118" s="762">
        <f>'[25]1_RSD Members &amp; At-Risk By Site'!$W$31</f>
        <v>167</v>
      </c>
      <c r="E118" s="418">
        <f t="shared" si="7"/>
        <v>-16</v>
      </c>
      <c r="F118" s="1060">
        <f t="shared" si="8"/>
        <v>-0.08743169398907104</v>
      </c>
      <c r="G118" s="1209">
        <f t="shared" si="9"/>
        <v>0</v>
      </c>
      <c r="H118" s="477">
        <f>'Table 5B1_RSD_Orleans'!D42</f>
        <v>3253.87339114165</v>
      </c>
      <c r="I118" s="1092">
        <f>'Table 5B1_RSD_Orleans'!H42+'Table 5B1_RSD_Orleans'!L42</f>
        <v>329.84000000000003</v>
      </c>
      <c r="J118" s="477">
        <f>'Table 5B1_RSD_Orleans'!Q42</f>
        <v>119.87037037037037</v>
      </c>
      <c r="K118" s="477">
        <f t="shared" si="10"/>
        <v>3703.5837615120204</v>
      </c>
      <c r="L118" s="1076">
        <f t="shared" si="11"/>
        <v>1851.7918807560102</v>
      </c>
      <c r="M118" s="1116">
        <f t="shared" si="12"/>
        <v>0</v>
      </c>
    </row>
    <row r="119" spans="1:13" ht="12" customHeight="1">
      <c r="A119" s="799"/>
      <c r="B119" s="800" t="s">
        <v>881</v>
      </c>
      <c r="C119" s="802">
        <f>'[19]RSD Members &amp; At-Risk by Site'!$X$30</f>
        <v>92</v>
      </c>
      <c r="D119" s="802">
        <f>'[25]1_RSD Members &amp; At-Risk By Site'!$W$19</f>
        <v>96</v>
      </c>
      <c r="E119" s="1045">
        <f t="shared" si="7"/>
        <v>4</v>
      </c>
      <c r="F119" s="1059">
        <f t="shared" si="8"/>
        <v>0.043478260869565216</v>
      </c>
      <c r="G119" s="1209">
        <f t="shared" si="9"/>
        <v>4</v>
      </c>
      <c r="H119" s="1085">
        <f>'Table 5B1_RSD_Orleans'!D43</f>
        <v>3253.87339114165</v>
      </c>
      <c r="I119" s="1100">
        <f>'Table 5B1_RSD_Orleans'!H43+'Table 5B1_RSD_Orleans'!L43</f>
        <v>329.84000000000003</v>
      </c>
      <c r="J119" s="1085">
        <f>'Table 5B1_RSD_Orleans'!Q43</f>
        <v>103.83356164383562</v>
      </c>
      <c r="K119" s="1085">
        <f t="shared" si="10"/>
        <v>3687.5469527854857</v>
      </c>
      <c r="L119" s="1076">
        <f t="shared" si="11"/>
        <v>1843.7734763927429</v>
      </c>
      <c r="M119" s="1085">
        <f t="shared" si="12"/>
        <v>7375.093905570971</v>
      </c>
    </row>
    <row r="120" spans="1:13" ht="12" customHeight="1">
      <c r="A120" s="803"/>
      <c r="B120" s="804" t="s">
        <v>745</v>
      </c>
      <c r="C120" s="806">
        <f>'[19]RSD Members &amp; At-Risk by Site'!$X$27</f>
        <v>158</v>
      </c>
      <c r="D120" s="806">
        <f>'[25]1_RSD Members &amp; At-Risk By Site'!$W$16</f>
        <v>161</v>
      </c>
      <c r="E120" s="1047">
        <f t="shared" si="7"/>
        <v>3</v>
      </c>
      <c r="F120" s="1063">
        <f t="shared" si="8"/>
        <v>0.0189873417721519</v>
      </c>
      <c r="G120" s="1210">
        <f t="shared" si="9"/>
        <v>3</v>
      </c>
      <c r="H120" s="1086">
        <f>'Table 5B1_RSD_Orleans'!D44</f>
        <v>3253.87339114165</v>
      </c>
      <c r="I120" s="1101">
        <f>'Table 5B1_RSD_Orleans'!H44+'Table 5B1_RSD_Orleans'!L44</f>
        <v>329.84000000000003</v>
      </c>
      <c r="J120" s="1086">
        <f>'Table 5B1_RSD_Orleans'!Q44</f>
        <v>103.83356164383562</v>
      </c>
      <c r="K120" s="1086">
        <f t="shared" si="10"/>
        <v>3687.5469527854857</v>
      </c>
      <c r="L120" s="1076">
        <f t="shared" si="11"/>
        <v>1843.7734763927429</v>
      </c>
      <c r="M120" s="1086">
        <f t="shared" si="12"/>
        <v>5531.320429178229</v>
      </c>
    </row>
    <row r="121" spans="1:13" ht="12" customHeight="1">
      <c r="A121" s="799"/>
      <c r="B121" s="800" t="s">
        <v>880</v>
      </c>
      <c r="C121" s="802">
        <f>'[19]RSD Members &amp; At-Risk by Site'!$X$28</f>
        <v>238</v>
      </c>
      <c r="D121" s="802">
        <f>'[25]1_RSD Members &amp; At-Risk By Site'!$W$17</f>
        <v>239</v>
      </c>
      <c r="E121" s="1045">
        <f t="shared" si="7"/>
        <v>1</v>
      </c>
      <c r="F121" s="1059">
        <f t="shared" si="8"/>
        <v>0.004201680672268907</v>
      </c>
      <c r="G121" s="1209">
        <f t="shared" si="9"/>
        <v>0</v>
      </c>
      <c r="H121" s="1085">
        <f>'Table 5B1_RSD_Orleans'!D45</f>
        <v>3253.87339114165</v>
      </c>
      <c r="I121" s="1100">
        <f>'Table 5B1_RSD_Orleans'!H45+'Table 5B1_RSD_Orleans'!L45</f>
        <v>329.84000000000003</v>
      </c>
      <c r="J121" s="1085">
        <f>'Table 5B1_RSD_Orleans'!Q45</f>
        <v>103.83356164383562</v>
      </c>
      <c r="K121" s="1085">
        <f t="shared" si="10"/>
        <v>3687.5469527854857</v>
      </c>
      <c r="L121" s="1076">
        <f t="shared" si="11"/>
        <v>1843.7734763927429</v>
      </c>
      <c r="M121" s="1085">
        <f t="shared" si="12"/>
        <v>0</v>
      </c>
    </row>
    <row r="122" spans="1:13" ht="12" customHeight="1">
      <c r="A122" s="799"/>
      <c r="B122" s="800" t="s">
        <v>879</v>
      </c>
      <c r="C122" s="802">
        <f>'[19]RSD Members &amp; At-Risk by Site'!$X$29</f>
        <v>120</v>
      </c>
      <c r="D122" s="802">
        <f>'[25]1_RSD Members &amp; At-Risk By Site'!$W$18</f>
        <v>122</v>
      </c>
      <c r="E122" s="1045">
        <f t="shared" si="7"/>
        <v>2</v>
      </c>
      <c r="F122" s="1059">
        <f t="shared" si="8"/>
        <v>0.016666666666666666</v>
      </c>
      <c r="G122" s="1209">
        <f t="shared" si="9"/>
        <v>2</v>
      </c>
      <c r="H122" s="1085">
        <f>'Table 5B1_RSD_Orleans'!D46</f>
        <v>3253.87339114165</v>
      </c>
      <c r="I122" s="1100">
        <f>'Table 5B1_RSD_Orleans'!H46+'Table 5B1_RSD_Orleans'!L46</f>
        <v>329.84000000000003</v>
      </c>
      <c r="J122" s="1085">
        <f>'Table 5B1_RSD_Orleans'!Q46</f>
        <v>103.83356164383562</v>
      </c>
      <c r="K122" s="1085">
        <f t="shared" si="10"/>
        <v>3687.5469527854857</v>
      </c>
      <c r="L122" s="1076">
        <f t="shared" si="11"/>
        <v>1843.7734763927429</v>
      </c>
      <c r="M122" s="1085">
        <f t="shared" si="12"/>
        <v>3687.5469527854857</v>
      </c>
    </row>
    <row r="123" spans="1:13" ht="12" customHeight="1">
      <c r="A123" s="799"/>
      <c r="B123" s="800" t="s">
        <v>748</v>
      </c>
      <c r="C123" s="802">
        <f>'[19]RSD Members &amp; At-Risk by Site'!$X$26</f>
        <v>377</v>
      </c>
      <c r="D123" s="802">
        <f>'[25]1_RSD Members &amp; At-Risk By Site'!$W$12</f>
        <v>382</v>
      </c>
      <c r="E123" s="1045">
        <f t="shared" si="7"/>
        <v>5</v>
      </c>
      <c r="F123" s="1059">
        <f t="shared" si="8"/>
        <v>0.013262599469496022</v>
      </c>
      <c r="G123" s="1209">
        <f t="shared" si="9"/>
        <v>5</v>
      </c>
      <c r="H123" s="1085">
        <f>'Table 5B1_RSD_Orleans'!D47</f>
        <v>3253.87339114165</v>
      </c>
      <c r="I123" s="1100">
        <f>'Table 5B1_RSD_Orleans'!H47+'Table 5B1_RSD_Orleans'!L47</f>
        <v>316.51492537313436</v>
      </c>
      <c r="J123" s="1085">
        <f>'Table 5B1_RSD_Orleans'!Q47</f>
        <v>138.846921797005</v>
      </c>
      <c r="K123" s="1085">
        <f t="shared" si="10"/>
        <v>3709.235238311789</v>
      </c>
      <c r="L123" s="1076">
        <f t="shared" si="11"/>
        <v>1854.6176191558945</v>
      </c>
      <c r="M123" s="1085">
        <f t="shared" si="12"/>
        <v>9273.088095779472</v>
      </c>
    </row>
    <row r="124" spans="1:13" ht="12.75">
      <c r="A124" s="1208"/>
      <c r="B124" s="1071" t="s">
        <v>606</v>
      </c>
      <c r="C124" s="1072">
        <f>SUM(C85:C123)</f>
        <v>25427</v>
      </c>
      <c r="D124" s="1072">
        <f>SUM(D85:D123)</f>
        <v>25608</v>
      </c>
      <c r="E124" s="1073">
        <f>SUM(E85:E123)</f>
        <v>181</v>
      </c>
      <c r="F124" s="1074">
        <f t="shared" si="8"/>
        <v>0.007118417430290636</v>
      </c>
      <c r="G124" s="1216">
        <f>SUM(G85:G123)</f>
        <v>329</v>
      </c>
      <c r="H124" s="1089"/>
      <c r="I124" s="1104"/>
      <c r="J124" s="1089"/>
      <c r="K124" s="1089"/>
      <c r="L124" s="1089"/>
      <c r="M124" s="1123">
        <f>SUM(M85:M123)</f>
        <v>613859.7135280841</v>
      </c>
    </row>
    <row r="125" spans="1:13" ht="6.75" customHeight="1">
      <c r="A125" s="770"/>
      <c r="B125" s="771"/>
      <c r="C125" s="772"/>
      <c r="D125" s="772"/>
      <c r="E125" s="1042"/>
      <c r="F125" s="1056"/>
      <c r="G125" s="1217"/>
      <c r="H125" s="1082"/>
      <c r="I125" s="1098"/>
      <c r="J125" s="1082"/>
      <c r="K125" s="1082"/>
      <c r="L125" s="1082"/>
      <c r="M125" s="1082"/>
    </row>
    <row r="126" spans="1:13" ht="12" customHeight="1">
      <c r="A126" s="124"/>
      <c r="B126" s="778" t="s">
        <v>749</v>
      </c>
      <c r="C126" s="762">
        <f>'[19]RSD Members &amp; At-Risk by Site'!$X$14</f>
        <v>308</v>
      </c>
      <c r="D126" s="762">
        <f>'[25]1_RSD Members &amp; At-Risk By Site'!$W$20</f>
        <v>290</v>
      </c>
      <c r="E126" s="418">
        <f aca="true" t="shared" si="13" ref="E126:E133">D126-C126</f>
        <v>-18</v>
      </c>
      <c r="F126" s="1060">
        <f aca="true" t="shared" si="14" ref="F126:F133">E126/C126</f>
        <v>-0.05844155844155844</v>
      </c>
      <c r="G126" s="1209">
        <f aca="true" t="shared" si="15" ref="G126:G133">IF(OR(F126&gt;0.99%=TRUE,E126&gt;49=TRUE),D126-C126,0)</f>
        <v>0</v>
      </c>
      <c r="H126" s="477">
        <f>'Table 5B2_RSD_LA'!D9</f>
        <v>3632.310699762789</v>
      </c>
      <c r="I126" s="1092">
        <f>'Table 5B2_RSD_LA'!F9+'Table 5B2_RSD_LA'!H9</f>
        <v>309.24</v>
      </c>
      <c r="J126" s="477">
        <f>'Table 5B2_RSD_LA'!M9</f>
        <v>103.0731182795699</v>
      </c>
      <c r="K126" s="477">
        <f aca="true" t="shared" si="16" ref="K126:K133">H126+I126+J126</f>
        <v>4044.623818042359</v>
      </c>
      <c r="L126" s="477">
        <f aca="true" t="shared" si="17" ref="L126:L133">K126*0.5</f>
        <v>2022.3119090211794</v>
      </c>
      <c r="M126" s="1116">
        <f aca="true" t="shared" si="18" ref="M126:M133">L126*G126</f>
        <v>0</v>
      </c>
    </row>
    <row r="127" spans="1:13" ht="12" customHeight="1">
      <c r="A127" s="124"/>
      <c r="B127" s="778" t="s">
        <v>750</v>
      </c>
      <c r="C127" s="762">
        <f>'[19]RSD Members &amp; At-Risk by Site'!$X$15</f>
        <v>279</v>
      </c>
      <c r="D127" s="762">
        <f>'[25]1_RSD Members &amp; At-Risk By Site'!$W$21</f>
        <v>269</v>
      </c>
      <c r="E127" s="418">
        <f t="shared" si="13"/>
        <v>-10</v>
      </c>
      <c r="F127" s="1060">
        <f t="shared" si="14"/>
        <v>-0.035842293906810034</v>
      </c>
      <c r="G127" s="1209">
        <f t="shared" si="15"/>
        <v>0</v>
      </c>
      <c r="H127" s="477">
        <f>'Table 5B2_RSD_LA'!D10</f>
        <v>3632.310699762789</v>
      </c>
      <c r="I127" s="1092">
        <f>'Table 5B2_RSD_LA'!F10+'Table 5B2_RSD_LA'!H10</f>
        <v>309.24</v>
      </c>
      <c r="J127" s="477">
        <f>'Table 5B2_RSD_LA'!M10</f>
        <v>114.07013574660634</v>
      </c>
      <c r="K127" s="477">
        <f t="shared" si="16"/>
        <v>4055.6208355093954</v>
      </c>
      <c r="L127" s="477">
        <f t="shared" si="17"/>
        <v>2027.8104177546977</v>
      </c>
      <c r="M127" s="1116">
        <f t="shared" si="18"/>
        <v>0</v>
      </c>
    </row>
    <row r="128" spans="1:13" ht="12" customHeight="1">
      <c r="A128" s="124"/>
      <c r="B128" s="778" t="s">
        <v>751</v>
      </c>
      <c r="C128" s="762">
        <f>'[19]RSD Members &amp; At-Risk by Site'!$X$18</f>
        <v>213</v>
      </c>
      <c r="D128" s="762">
        <f>'[25]1_RSD Members &amp; At-Risk By Site'!$W$25</f>
        <v>205</v>
      </c>
      <c r="E128" s="418">
        <f t="shared" si="13"/>
        <v>-8</v>
      </c>
      <c r="F128" s="1060">
        <f t="shared" si="14"/>
        <v>-0.03755868544600939</v>
      </c>
      <c r="G128" s="1209">
        <f t="shared" si="15"/>
        <v>0</v>
      </c>
      <c r="H128" s="477">
        <f>'Table 5B2_RSD_LA'!D11</f>
        <v>3632.310699762789</v>
      </c>
      <c r="I128" s="1092">
        <f>'Table 5B2_RSD_LA'!F11+'Table 5B2_RSD_LA'!H11</f>
        <v>309.24</v>
      </c>
      <c r="J128" s="477">
        <f>'Table 5B2_RSD_LA'!M11</f>
        <v>77.5989010989011</v>
      </c>
      <c r="K128" s="477">
        <f t="shared" si="16"/>
        <v>4019.14960086169</v>
      </c>
      <c r="L128" s="477">
        <f t="shared" si="17"/>
        <v>2009.574800430845</v>
      </c>
      <c r="M128" s="1116">
        <f t="shared" si="18"/>
        <v>0</v>
      </c>
    </row>
    <row r="129" spans="1:13" ht="12" customHeight="1">
      <c r="A129" s="124"/>
      <c r="B129" s="780" t="s">
        <v>752</v>
      </c>
      <c r="C129" s="761">
        <f>'[19]RSD Members &amp; At-Risk by Site'!$X$19</f>
        <v>184</v>
      </c>
      <c r="D129" s="761">
        <f>'[25]1_RSD Members &amp; At-Risk By Site'!$W$26</f>
        <v>194</v>
      </c>
      <c r="E129" s="1046">
        <f t="shared" si="13"/>
        <v>10</v>
      </c>
      <c r="F129" s="1062">
        <f t="shared" si="14"/>
        <v>0.05434782608695652</v>
      </c>
      <c r="G129" s="1209">
        <f t="shared" si="15"/>
        <v>10</v>
      </c>
      <c r="H129" s="1076">
        <f>'Table 5B2_RSD_LA'!D12</f>
        <v>3632.310699762789</v>
      </c>
      <c r="I129" s="1091">
        <f>'Table 5B2_RSD_LA'!F12+'Table 5B2_RSD_LA'!H12</f>
        <v>309.24</v>
      </c>
      <c r="J129" s="1076">
        <f>'Table 5B2_RSD_LA'!M12</f>
        <v>78.8298969072165</v>
      </c>
      <c r="K129" s="1076">
        <f t="shared" si="16"/>
        <v>4020.3805966700056</v>
      </c>
      <c r="L129" s="1076">
        <f t="shared" si="17"/>
        <v>2010.1902983350028</v>
      </c>
      <c r="M129" s="1116">
        <f t="shared" si="18"/>
        <v>20101.902983350028</v>
      </c>
    </row>
    <row r="130" spans="1:13" ht="12" customHeight="1">
      <c r="A130" s="803"/>
      <c r="B130" s="804" t="s">
        <v>753</v>
      </c>
      <c r="C130" s="806">
        <f>'[19]RSD Members &amp; At-Risk by Site'!$X$16</f>
        <v>345</v>
      </c>
      <c r="D130" s="806">
        <f>'[25]1_RSD Members &amp; At-Risk By Site'!$W$23</f>
        <v>338</v>
      </c>
      <c r="E130" s="1047">
        <f t="shared" si="13"/>
        <v>-7</v>
      </c>
      <c r="F130" s="1063">
        <f t="shared" si="14"/>
        <v>-0.020289855072463767</v>
      </c>
      <c r="G130" s="1210">
        <f t="shared" si="15"/>
        <v>0</v>
      </c>
      <c r="H130" s="1086">
        <f>'Table 5B2_RSD_LA'!D13</f>
        <v>3632.310699762789</v>
      </c>
      <c r="I130" s="1101">
        <f>'Table 5B2_RSD_LA'!F13+'Table 5B2_RSD_LA'!H13</f>
        <v>309.24</v>
      </c>
      <c r="J130" s="1086">
        <f>'Table 5B2_RSD_LA'!M13</f>
        <v>112.70873942625965</v>
      </c>
      <c r="K130" s="1086">
        <f t="shared" si="16"/>
        <v>4054.259439189049</v>
      </c>
      <c r="L130" s="1086">
        <f t="shared" si="17"/>
        <v>2027.1297195945244</v>
      </c>
      <c r="M130" s="1117">
        <f t="shared" si="18"/>
        <v>0</v>
      </c>
    </row>
    <row r="131" spans="1:13" ht="12" customHeight="1">
      <c r="A131" s="799"/>
      <c r="B131" s="800" t="s">
        <v>754</v>
      </c>
      <c r="C131" s="802">
        <f>'[19]RSD Members &amp; At-Risk by Site'!$X$17</f>
        <v>275</v>
      </c>
      <c r="D131" s="802">
        <f>'[25]1_RSD Members &amp; At-Risk By Site'!$W$24</f>
        <v>265</v>
      </c>
      <c r="E131" s="1045">
        <f t="shared" si="13"/>
        <v>-10</v>
      </c>
      <c r="F131" s="1059">
        <f t="shared" si="14"/>
        <v>-0.03636363636363636</v>
      </c>
      <c r="G131" s="1209">
        <f t="shared" si="15"/>
        <v>0</v>
      </c>
      <c r="H131" s="1085">
        <f>'Table 5B2_RSD_LA'!D14</f>
        <v>3632.310699762789</v>
      </c>
      <c r="I131" s="1100">
        <f>'Table 5B2_RSD_LA'!F14+'Table 5B2_RSD_LA'!H14</f>
        <v>309.24</v>
      </c>
      <c r="J131" s="1085">
        <f>'Table 5B2_RSD_LA'!M14</f>
        <v>112.70873942625965</v>
      </c>
      <c r="K131" s="1085">
        <f t="shared" si="16"/>
        <v>4054.259439189049</v>
      </c>
      <c r="L131" s="1085">
        <f t="shared" si="17"/>
        <v>2027.1297195945244</v>
      </c>
      <c r="M131" s="1116">
        <f t="shared" si="18"/>
        <v>0</v>
      </c>
    </row>
    <row r="132" spans="1:13" ht="12" customHeight="1">
      <c r="A132" s="799"/>
      <c r="B132" s="800" t="s">
        <v>755</v>
      </c>
      <c r="C132" s="802">
        <f>'[19]RSD Members &amp; At-Risk by Site'!$X$13</f>
        <v>430</v>
      </c>
      <c r="D132" s="802">
        <f>'[25]1_RSD Members &amp; At-Risk By Site'!$W$15</f>
        <v>416</v>
      </c>
      <c r="E132" s="1045">
        <f t="shared" si="13"/>
        <v>-14</v>
      </c>
      <c r="F132" s="1059">
        <f t="shared" si="14"/>
        <v>-0.03255813953488372</v>
      </c>
      <c r="G132" s="1209">
        <f t="shared" si="15"/>
        <v>0</v>
      </c>
      <c r="H132" s="1085">
        <f>'Table 5B2_RSD_LA'!D15</f>
        <v>3632.310699762789</v>
      </c>
      <c r="I132" s="1100">
        <f>'Table 5B2_RSD_LA'!F15+'Table 5B2_RSD_LA'!H15</f>
        <v>309.24</v>
      </c>
      <c r="J132" s="1085">
        <f>'Table 5B2_RSD_LA'!M15</f>
        <v>112.70873942625965</v>
      </c>
      <c r="K132" s="1085">
        <f t="shared" si="16"/>
        <v>4054.259439189049</v>
      </c>
      <c r="L132" s="1085">
        <f t="shared" si="17"/>
        <v>2027.1297195945244</v>
      </c>
      <c r="M132" s="1116">
        <f t="shared" si="18"/>
        <v>0</v>
      </c>
    </row>
    <row r="133" spans="1:13" ht="12" customHeight="1">
      <c r="A133" s="799"/>
      <c r="B133" s="800" t="s">
        <v>756</v>
      </c>
      <c r="C133" s="802">
        <f>'[19]RSD Members &amp; At-Risk by Site'!$X$20</f>
        <v>447</v>
      </c>
      <c r="D133" s="802">
        <f>'[25]1_RSD Members &amp; At-Risk By Site'!$W$38</f>
        <v>426</v>
      </c>
      <c r="E133" s="1045">
        <f t="shared" si="13"/>
        <v>-21</v>
      </c>
      <c r="F133" s="1059">
        <f t="shared" si="14"/>
        <v>-0.04697986577181208</v>
      </c>
      <c r="G133" s="1209">
        <f t="shared" si="15"/>
        <v>0</v>
      </c>
      <c r="H133" s="1085">
        <f>'Table 5B2_RSD_LA'!D16</f>
        <v>3632.310699762789</v>
      </c>
      <c r="I133" s="1100">
        <f>'Table 5B2_RSD_LA'!F16+'Table 5B2_RSD_LA'!H16</f>
        <v>309.24</v>
      </c>
      <c r="J133" s="1085">
        <f>'Table 5B2_RSD_LA'!M16</f>
        <v>112.70873942625965</v>
      </c>
      <c r="K133" s="1085">
        <f t="shared" si="16"/>
        <v>4054.259439189049</v>
      </c>
      <c r="L133" s="1085">
        <f t="shared" si="17"/>
        <v>2027.1297195945244</v>
      </c>
      <c r="M133" s="1116">
        <f t="shared" si="18"/>
        <v>0</v>
      </c>
    </row>
    <row r="134" spans="1:13" ht="12" customHeight="1">
      <c r="A134" s="803"/>
      <c r="B134" s="804"/>
      <c r="C134" s="806"/>
      <c r="D134" s="806"/>
      <c r="E134" s="1047"/>
      <c r="F134" s="1063"/>
      <c r="G134" s="1210"/>
      <c r="H134" s="1086"/>
      <c r="I134" s="1101"/>
      <c r="J134" s="1086"/>
      <c r="K134" s="1086"/>
      <c r="L134" s="1086"/>
      <c r="M134" s="1117"/>
    </row>
    <row r="135" spans="1:13" ht="12.75">
      <c r="A135" s="767"/>
      <c r="B135" s="768" t="s">
        <v>607</v>
      </c>
      <c r="C135" s="16">
        <f>SUM(C126:C134)</f>
        <v>2481</v>
      </c>
      <c r="D135" s="16">
        <f>SUM(D126:D134)</f>
        <v>2403</v>
      </c>
      <c r="E135" s="1048">
        <f>SUM(E126:E134)</f>
        <v>-78</v>
      </c>
      <c r="F135" s="1064">
        <f>E135/C135</f>
        <v>-0.03143893591293833</v>
      </c>
      <c r="G135" s="1218">
        <f>SUM(G126:G134)</f>
        <v>10</v>
      </c>
      <c r="H135" s="525"/>
      <c r="I135" s="870"/>
      <c r="J135" s="525"/>
      <c r="K135" s="525"/>
      <c r="L135" s="525"/>
      <c r="M135" s="1121">
        <f>SUM(M126:M134)</f>
        <v>20101.902983350028</v>
      </c>
    </row>
    <row r="136" spans="1:13" ht="6.75" customHeight="1">
      <c r="A136" s="770"/>
      <c r="B136" s="771"/>
      <c r="C136" s="772"/>
      <c r="D136" s="772"/>
      <c r="E136" s="1042"/>
      <c r="F136" s="1056"/>
      <c r="G136" s="772"/>
      <c r="H136" s="1082"/>
      <c r="I136" s="1098"/>
      <c r="J136" s="1082"/>
      <c r="K136" s="1082"/>
      <c r="L136" s="1082"/>
      <c r="M136" s="1082"/>
    </row>
    <row r="137" spans="1:13" ht="12" customHeight="1">
      <c r="A137" s="781"/>
      <c r="B137" s="782" t="s">
        <v>181</v>
      </c>
      <c r="C137" s="783">
        <f>'[19]RSD Members &amp; At-Risk by Site'!$X$22</f>
        <v>385</v>
      </c>
      <c r="D137" s="783">
        <f>'[25]1_RSD Members &amp; At-Risk By Site'!$W$22</f>
        <v>368</v>
      </c>
      <c r="E137" s="1049">
        <f>D137-C137</f>
        <v>-17</v>
      </c>
      <c r="F137" s="1065">
        <f>E137/C137</f>
        <v>-0.04415584415584416</v>
      </c>
      <c r="G137" s="1219">
        <f>IF(OR(F137&gt;0.99%=TRUE,E137&gt;49=TRUE),D137-C137,0)</f>
        <v>0</v>
      </c>
      <c r="H137" s="1087">
        <f>'Table 5B2_RSD_LA'!D22</f>
        <v>3980.6376294007673</v>
      </c>
      <c r="I137" s="1102">
        <f>'Table 5B2_RSD_LA'!F22+'Table 5B2_RSD_LA'!H22</f>
        <v>323.63</v>
      </c>
      <c r="J137" s="1087">
        <f>'Table 5B2_RSD_LA'!M22</f>
        <v>50.20142180094787</v>
      </c>
      <c r="K137" s="1087">
        <f>H137+I137+J137</f>
        <v>4354.469051201715</v>
      </c>
      <c r="L137" s="1087">
        <f>K137*0.5</f>
        <v>2177.2345256008575</v>
      </c>
      <c r="M137" s="1122">
        <f>L137*G137</f>
        <v>0</v>
      </c>
    </row>
    <row r="138" spans="1:13" ht="12.75">
      <c r="A138" s="767"/>
      <c r="B138" s="768" t="s">
        <v>608</v>
      </c>
      <c r="C138" s="16">
        <f>SUM(C137)</f>
        <v>385</v>
      </c>
      <c r="D138" s="16">
        <f>SUM(D137)</f>
        <v>368</v>
      </c>
      <c r="E138" s="1048">
        <f>SUM(E137)</f>
        <v>-17</v>
      </c>
      <c r="F138" s="1064">
        <f>E138/C138</f>
        <v>-0.04415584415584416</v>
      </c>
      <c r="G138" s="1214">
        <f>SUM(G137)</f>
        <v>0</v>
      </c>
      <c r="H138" s="525"/>
      <c r="I138" s="870"/>
      <c r="J138" s="525"/>
      <c r="K138" s="525"/>
      <c r="L138" s="525"/>
      <c r="M138" s="1121">
        <f>SUM(M137)</f>
        <v>0</v>
      </c>
    </row>
    <row r="139" spans="1:13" ht="6.75" customHeight="1">
      <c r="A139" s="770"/>
      <c r="B139" s="771"/>
      <c r="C139" s="772"/>
      <c r="D139" s="772"/>
      <c r="E139" s="1042"/>
      <c r="F139" s="1056"/>
      <c r="G139" s="772"/>
      <c r="H139" s="1082"/>
      <c r="I139" s="1098"/>
      <c r="J139" s="1082"/>
      <c r="K139" s="1082"/>
      <c r="L139" s="1082"/>
      <c r="M139" s="1082"/>
    </row>
    <row r="140" spans="1:13" ht="12" customHeight="1">
      <c r="A140" s="807"/>
      <c r="B140" s="808" t="s">
        <v>198</v>
      </c>
      <c r="C140" s="810">
        <f>'[19]RSD Members &amp; At-Risk by Site'!$X$10</f>
        <v>271</v>
      </c>
      <c r="D140" s="810">
        <f>'[25]1_RSD Members &amp; At-Risk By Site'!$W$13</f>
        <v>253</v>
      </c>
      <c r="E140" s="1050">
        <f>D140-C140</f>
        <v>-18</v>
      </c>
      <c r="F140" s="1066">
        <f>E140/C140</f>
        <v>-0.06642066420664207</v>
      </c>
      <c r="G140" s="1212">
        <f>IF(OR(F140&gt;0.99%=TRUE,E140&gt;49=TRUE),D140-C140,0)</f>
        <v>0</v>
      </c>
      <c r="H140" s="1088">
        <f>'Table 5B2_RSD_LA'!D27</f>
        <v>4878.837271866106</v>
      </c>
      <c r="I140" s="1103">
        <f>'Table 5B2_RSD_LA'!F27+'Table 5B2_RSD_LA'!H27</f>
        <v>324.53</v>
      </c>
      <c r="J140" s="1088">
        <f>'Table 5B2_RSD_LA'!M27</f>
        <v>105.77</v>
      </c>
      <c r="K140" s="1088">
        <f>H140+I140+J140</f>
        <v>5309.137271866106</v>
      </c>
      <c r="L140" s="1088">
        <f>K140*0.5</f>
        <v>2654.568635933053</v>
      </c>
      <c r="M140" s="1119">
        <f>L140*G140</f>
        <v>0</v>
      </c>
    </row>
    <row r="141" spans="1:13" ht="12" customHeight="1">
      <c r="A141" s="803"/>
      <c r="B141" s="804" t="s">
        <v>199</v>
      </c>
      <c r="C141" s="806">
        <f>'[19]RSD Members &amp; At-Risk by Site'!$X$11</f>
        <v>655</v>
      </c>
      <c r="D141" s="806">
        <f>'[25]1_RSD Members &amp; At-Risk By Site'!$W$14</f>
        <v>532</v>
      </c>
      <c r="E141" s="1047">
        <f>D141-C141</f>
        <v>-123</v>
      </c>
      <c r="F141" s="1063">
        <f>E141/C141</f>
        <v>-0.18778625954198475</v>
      </c>
      <c r="G141" s="1210">
        <f>IF(OR(F141&gt;0.99%=TRUE,E141&gt;49=TRUE),D141-C141,0)</f>
        <v>0</v>
      </c>
      <c r="H141" s="1086">
        <f>'Table 5B2_RSD_LA'!D28</f>
        <v>4878.837271866106</v>
      </c>
      <c r="I141" s="1101">
        <f>'Table 5B2_RSD_LA'!F28+'Table 5B2_RSD_LA'!H28</f>
        <v>324.53</v>
      </c>
      <c r="J141" s="1086">
        <f>'Table 5B2_RSD_LA'!M28</f>
        <v>105.77</v>
      </c>
      <c r="K141" s="1086">
        <f>H141+I141+J141</f>
        <v>5309.137271866106</v>
      </c>
      <c r="L141" s="1086">
        <f>K141*0.5</f>
        <v>2654.568635933053</v>
      </c>
      <c r="M141" s="1117">
        <f>L141*G141</f>
        <v>0</v>
      </c>
    </row>
    <row r="142" spans="1:13" ht="12.75">
      <c r="A142" s="1070"/>
      <c r="B142" s="1071" t="s">
        <v>174</v>
      </c>
      <c r="C142" s="1072">
        <f>SUM(C140:C141)</f>
        <v>926</v>
      </c>
      <c r="D142" s="1072">
        <f>SUM(D140:D141)</f>
        <v>785</v>
      </c>
      <c r="E142" s="1073">
        <f>SUM(E140:E141)</f>
        <v>-141</v>
      </c>
      <c r="F142" s="1074">
        <f>E142/C142</f>
        <v>-0.15226781857451405</v>
      </c>
      <c r="G142" s="1216">
        <f>SUM(G140:G141)</f>
        <v>0</v>
      </c>
      <c r="H142" s="1089"/>
      <c r="I142" s="1104"/>
      <c r="J142" s="1089"/>
      <c r="K142" s="1072"/>
      <c r="L142" s="1072"/>
      <c r="M142" s="1123">
        <f>SUM(M140:M141)</f>
        <v>0</v>
      </c>
    </row>
    <row r="143" spans="3:13" s="1220" customFormat="1" ht="8.25" customHeight="1">
      <c r="C143" s="1221"/>
      <c r="D143" s="1221"/>
      <c r="F143" s="1222"/>
      <c r="G143" s="1221"/>
      <c r="H143" s="1223"/>
      <c r="I143" s="1224"/>
      <c r="J143" s="1223"/>
      <c r="K143" s="1221"/>
      <c r="L143" s="1221"/>
      <c r="M143" s="1223"/>
    </row>
    <row r="144" spans="1:13" ht="12.75">
      <c r="A144" s="1070"/>
      <c r="B144" s="1071" t="s">
        <v>788</v>
      </c>
      <c r="C144" s="1072">
        <f>C142+C138+C135+C124+C83+C75+C79</f>
        <v>661541</v>
      </c>
      <c r="D144" s="1072">
        <f>D142+D138+D135+D124+D83+D75+D79</f>
        <v>658251</v>
      </c>
      <c r="E144" s="1073">
        <f>E142+E138+E135+E124+E83+E75+E79</f>
        <v>-3290</v>
      </c>
      <c r="F144" s="1074">
        <f>E144/C144</f>
        <v>-0.004973236730603243</v>
      </c>
      <c r="G144" s="1216">
        <f>G142+G138+G135+G124+G83+G75+G79</f>
        <v>652</v>
      </c>
      <c r="H144" s="1089"/>
      <c r="I144" s="1104"/>
      <c r="J144" s="1089"/>
      <c r="K144" s="1072"/>
      <c r="L144" s="1072"/>
      <c r="M144" s="1123">
        <f>M142+M138+M135+M124+M83+M75+M79</f>
        <v>1292316.8717845418</v>
      </c>
    </row>
    <row r="145" ht="12.75">
      <c r="A145" s="1075"/>
    </row>
    <row r="146" spans="2:13" s="95" customFormat="1" ht="39.75" customHeight="1">
      <c r="B146" s="1492" t="s">
        <v>924</v>
      </c>
      <c r="C146" s="1492"/>
      <c r="D146" s="1492"/>
      <c r="E146" s="1492"/>
      <c r="F146" s="1492"/>
      <c r="G146" s="1492"/>
      <c r="H146" s="1492"/>
      <c r="I146" s="1492"/>
      <c r="J146" s="1492"/>
      <c r="K146" s="1492"/>
      <c r="L146" s="1492"/>
      <c r="M146" s="1492"/>
    </row>
    <row r="147" ht="18.75" customHeight="1"/>
    <row r="149" ht="12.75">
      <c r="B149" s="784"/>
    </row>
  </sheetData>
  <sheetProtection/>
  <mergeCells count="13">
    <mergeCell ref="A2:A3"/>
    <mergeCell ref="B2:B3"/>
    <mergeCell ref="C2:C3"/>
    <mergeCell ref="E2:F2"/>
    <mergeCell ref="K2:K3"/>
    <mergeCell ref="M2:M3"/>
    <mergeCell ref="L2:L3"/>
    <mergeCell ref="B146:M146"/>
    <mergeCell ref="D2:D3"/>
    <mergeCell ref="G2:G3"/>
    <mergeCell ref="H2:H3"/>
    <mergeCell ref="I2:I3"/>
    <mergeCell ref="J2:J3"/>
  </mergeCells>
  <printOptions horizontalCentered="1"/>
  <pageMargins left="0.25" right="0.25" top="0.87" bottom="0.26" header="0.27" footer="0.23"/>
  <pageSetup firstPageNumber="35" useFirstPageNumber="1" fitToHeight="2" horizontalDpi="600" verticalDpi="600" orientation="portrait" scale="65" r:id="rId1"/>
  <headerFooter alignWithMargins="0">
    <oddHeader>&amp;L&amp;"Arial,Bold"&amp;22FY2009-10 MFP Budget Letter: March 2010 Midyear Adjustment for Growth</oddHeader>
    <oddFooter>&amp;R&amp;P</oddFooter>
  </headerFooter>
  <rowBreaks count="1" manualBreakCount="1">
    <brk id="7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4" width="13.7109375" style="0" customWidth="1"/>
  </cols>
  <sheetData>
    <row r="1" spans="1:8" ht="36.75" customHeight="1">
      <c r="A1" s="1499" t="s">
        <v>812</v>
      </c>
      <c r="B1" s="1499"/>
      <c r="C1" s="1499"/>
      <c r="D1" s="1499"/>
      <c r="E1" s="1499"/>
      <c r="F1" s="1499"/>
      <c r="G1" s="1499"/>
      <c r="H1" s="1499"/>
    </row>
    <row r="2" spans="1:8" ht="15" customHeight="1">
      <c r="A2" s="1271"/>
      <c r="B2" s="1271"/>
      <c r="C2" s="1271"/>
      <c r="D2" s="1271"/>
      <c r="E2" s="1271"/>
      <c r="F2" s="1271"/>
      <c r="G2" s="1271"/>
      <c r="H2" s="1271"/>
    </row>
    <row r="3" spans="1:8" ht="12.75">
      <c r="A3" s="1272">
        <v>12158</v>
      </c>
      <c r="B3" s="1273" t="s">
        <v>793</v>
      </c>
      <c r="C3" s="1274"/>
      <c r="D3" s="1274"/>
      <c r="E3" s="1274"/>
      <c r="F3" s="1274"/>
      <c r="G3" s="1274"/>
      <c r="H3" s="1274"/>
    </row>
    <row r="4" spans="1:8" ht="12.75">
      <c r="A4" s="1275">
        <v>93</v>
      </c>
      <c r="B4" s="1273" t="s">
        <v>809</v>
      </c>
      <c r="C4" s="1274"/>
      <c r="D4" s="1274"/>
      <c r="E4" s="1274"/>
      <c r="F4" s="1274"/>
      <c r="G4" s="1274"/>
      <c r="H4" s="1274"/>
    </row>
    <row r="5" spans="1:8" ht="12.75">
      <c r="A5" s="1275">
        <v>182</v>
      </c>
      <c r="B5" s="1273" t="s">
        <v>806</v>
      </c>
      <c r="C5" s="1274"/>
      <c r="D5" s="1274"/>
      <c r="E5" s="1274"/>
      <c r="F5" s="1274"/>
      <c r="G5" s="1274"/>
      <c r="H5" s="1274"/>
    </row>
    <row r="6" spans="1:8" ht="12.75">
      <c r="A6" s="1275">
        <v>140</v>
      </c>
      <c r="B6" s="1273" t="s">
        <v>807</v>
      </c>
      <c r="C6" s="1274"/>
      <c r="D6" s="1274"/>
      <c r="E6" s="1274"/>
      <c r="F6" s="1274"/>
      <c r="G6" s="1274"/>
      <c r="H6" s="1274"/>
    </row>
    <row r="7" spans="1:8" ht="12.75">
      <c r="A7" s="1275">
        <v>156</v>
      </c>
      <c r="B7" s="1273" t="s">
        <v>808</v>
      </c>
      <c r="C7" s="1274"/>
      <c r="D7" s="1274"/>
      <c r="E7" s="1274"/>
      <c r="F7" s="1274"/>
      <c r="G7" s="1274"/>
      <c r="H7" s="1274"/>
    </row>
    <row r="8" spans="1:8" ht="12.75">
      <c r="A8" s="1274"/>
      <c r="B8" s="1274"/>
      <c r="C8" s="1274"/>
      <c r="D8" s="1274"/>
      <c r="E8" s="1274"/>
      <c r="F8" s="1274"/>
      <c r="G8" s="1274"/>
      <c r="H8" s="1274"/>
    </row>
    <row r="9" spans="1:8" ht="12.75">
      <c r="A9" s="1275">
        <v>11218</v>
      </c>
      <c r="B9" s="1273" t="s">
        <v>805</v>
      </c>
      <c r="C9" s="1274"/>
      <c r="D9" s="1274"/>
      <c r="E9" s="1274"/>
      <c r="F9" s="1274"/>
      <c r="G9" s="1274"/>
      <c r="H9" s="1274"/>
    </row>
    <row r="10" spans="1:8" ht="12.75">
      <c r="A10" s="1275">
        <v>92</v>
      </c>
      <c r="B10" s="1273" t="s">
        <v>801</v>
      </c>
      <c r="C10" s="1274"/>
      <c r="D10" s="1274"/>
      <c r="E10" s="1274"/>
      <c r="F10" s="1274"/>
      <c r="G10" s="1274"/>
      <c r="H10" s="1274"/>
    </row>
    <row r="11" spans="1:8" ht="12.75">
      <c r="A11" s="1275">
        <v>158</v>
      </c>
      <c r="B11" s="1273" t="s">
        <v>802</v>
      </c>
      <c r="C11" s="1274"/>
      <c r="D11" s="1274"/>
      <c r="E11" s="1274"/>
      <c r="F11" s="1274"/>
      <c r="G11" s="1274"/>
      <c r="H11" s="1274"/>
    </row>
    <row r="12" spans="1:8" ht="12.75">
      <c r="A12" s="1275">
        <v>238</v>
      </c>
      <c r="B12" s="1273" t="s">
        <v>803</v>
      </c>
      <c r="C12" s="1274"/>
      <c r="D12" s="1274"/>
      <c r="E12" s="1274"/>
      <c r="F12" s="1274"/>
      <c r="G12" s="1274"/>
      <c r="H12" s="1274"/>
    </row>
    <row r="13" spans="1:8" ht="12.75">
      <c r="A13" s="1275">
        <v>120</v>
      </c>
      <c r="B13" s="1273" t="s">
        <v>804</v>
      </c>
      <c r="C13" s="1274"/>
      <c r="D13" s="1274"/>
      <c r="E13" s="1274"/>
      <c r="F13" s="1274"/>
      <c r="G13" s="1274"/>
      <c r="H13" s="1274"/>
    </row>
    <row r="14" spans="1:8" ht="12.75">
      <c r="A14" s="1274"/>
      <c r="B14" s="1274"/>
      <c r="C14" s="1274"/>
      <c r="D14" s="1274"/>
      <c r="E14" s="1274"/>
      <c r="F14" s="1274"/>
      <c r="G14" s="1274"/>
      <c r="H14" s="1274"/>
    </row>
    <row r="15" spans="1:8" ht="12.75">
      <c r="A15" s="1276" t="s">
        <v>792</v>
      </c>
      <c r="B15" s="1274"/>
      <c r="C15" s="1274"/>
      <c r="D15" s="1274"/>
      <c r="E15" s="1274"/>
      <c r="F15" s="1274"/>
      <c r="G15" s="1274"/>
      <c r="H15" s="1274"/>
    </row>
    <row r="16" spans="1:8" ht="12.75">
      <c r="A16" s="1272">
        <v>12158</v>
      </c>
      <c r="B16" s="1273" t="s">
        <v>793</v>
      </c>
      <c r="C16" s="1274"/>
      <c r="D16" s="1274"/>
      <c r="E16" s="1274"/>
      <c r="F16" s="1274"/>
      <c r="G16" s="1274"/>
      <c r="H16" s="1274"/>
    </row>
    <row r="17" spans="1:8" ht="12.75">
      <c r="A17" s="1276">
        <v>80</v>
      </c>
      <c r="B17" s="1273" t="s">
        <v>794</v>
      </c>
      <c r="C17" s="1274"/>
      <c r="D17" s="1274"/>
      <c r="E17" s="1274"/>
      <c r="F17" s="1274"/>
      <c r="G17" s="1274"/>
      <c r="H17" s="1274"/>
    </row>
    <row r="18" spans="1:8" ht="12.75">
      <c r="A18" s="1276">
        <v>96</v>
      </c>
      <c r="B18" s="1273" t="s">
        <v>795</v>
      </c>
      <c r="C18" s="1274"/>
      <c r="D18" s="1274"/>
      <c r="E18" s="1274"/>
      <c r="F18" s="1274"/>
      <c r="G18" s="1274"/>
      <c r="H18" s="1274"/>
    </row>
    <row r="19" spans="1:8" ht="12.75">
      <c r="A19" s="1276">
        <v>211</v>
      </c>
      <c r="B19" s="1273" t="s">
        <v>796</v>
      </c>
      <c r="C19" s="1274"/>
      <c r="D19" s="1274"/>
      <c r="E19" s="1274"/>
      <c r="F19" s="1274"/>
      <c r="G19" s="1274"/>
      <c r="H19" s="1274"/>
    </row>
    <row r="20" spans="1:8" ht="12.75">
      <c r="A20" s="1277">
        <v>100</v>
      </c>
      <c r="B20" s="1273" t="s">
        <v>797</v>
      </c>
      <c r="C20" s="1274"/>
      <c r="D20" s="1274"/>
      <c r="E20" s="1274"/>
      <c r="F20" s="1274"/>
      <c r="G20" s="1274"/>
      <c r="H20" s="1274"/>
    </row>
    <row r="21" spans="1:8" ht="12.75">
      <c r="A21" s="1272">
        <f>A16-A17-A18-A19-A20</f>
        <v>11671</v>
      </c>
      <c r="B21" s="1273" t="s">
        <v>798</v>
      </c>
      <c r="C21" s="1274"/>
      <c r="D21" s="1274"/>
      <c r="E21" s="1274"/>
      <c r="F21" s="1274"/>
      <c r="G21" s="1274"/>
      <c r="H21" s="1274"/>
    </row>
    <row r="22" spans="1:8" ht="12.75">
      <c r="A22" s="1276"/>
      <c r="B22" s="1274"/>
      <c r="C22" s="1274"/>
      <c r="D22" s="1274"/>
      <c r="E22" s="1274"/>
      <c r="F22" s="1274"/>
      <c r="G22" s="1274"/>
      <c r="H22" s="1274"/>
    </row>
    <row r="23" spans="1:8" ht="12.75">
      <c r="A23" s="1278" t="s">
        <v>800</v>
      </c>
      <c r="B23" s="1274"/>
      <c r="C23" s="1274"/>
      <c r="D23" s="1274"/>
      <c r="E23" s="1274"/>
      <c r="F23" s="1274"/>
      <c r="G23" s="1274"/>
      <c r="H23" s="1274"/>
    </row>
    <row r="24" spans="1:8" ht="12.75">
      <c r="A24" s="1272">
        <v>12158</v>
      </c>
      <c r="B24" s="1273" t="s">
        <v>793</v>
      </c>
      <c r="C24" s="1274"/>
      <c r="D24" s="1274"/>
      <c r="E24" s="1274"/>
      <c r="F24" s="1274"/>
      <c r="G24" s="1274"/>
      <c r="H24" s="1274"/>
    </row>
    <row r="25" spans="1:8" ht="12.75">
      <c r="A25" s="1276">
        <v>92</v>
      </c>
      <c r="B25" s="1273" t="s">
        <v>801</v>
      </c>
      <c r="C25" s="1274"/>
      <c r="D25" s="1274"/>
      <c r="E25" s="1274"/>
      <c r="F25" s="1274"/>
      <c r="G25" s="1274"/>
      <c r="H25" s="1274"/>
    </row>
    <row r="26" spans="1:8" ht="12.75">
      <c r="A26" s="1276">
        <v>158</v>
      </c>
      <c r="B26" s="1273" t="s">
        <v>802</v>
      </c>
      <c r="C26" s="1274"/>
      <c r="D26" s="1274"/>
      <c r="E26" s="1274"/>
      <c r="F26" s="1274"/>
      <c r="G26" s="1274"/>
      <c r="H26" s="1274"/>
    </row>
    <row r="27" spans="1:8" ht="12.75">
      <c r="A27" s="1276">
        <v>140</v>
      </c>
      <c r="B27" s="1273" t="s">
        <v>810</v>
      </c>
      <c r="C27" s="1274"/>
      <c r="D27" s="1274"/>
      <c r="E27" s="1274"/>
      <c r="F27" s="1274"/>
      <c r="G27" s="1274"/>
      <c r="H27" s="1274"/>
    </row>
    <row r="28" spans="1:8" ht="12.75">
      <c r="A28" s="1277">
        <v>120</v>
      </c>
      <c r="B28" s="1273" t="s">
        <v>804</v>
      </c>
      <c r="C28" s="1274"/>
      <c r="D28" s="1274"/>
      <c r="E28" s="1274"/>
      <c r="F28" s="1274"/>
      <c r="G28" s="1274"/>
      <c r="H28" s="1274"/>
    </row>
    <row r="29" spans="1:8" ht="12.75">
      <c r="A29" s="1272">
        <f>A24-A25-A26-A27-A28</f>
        <v>11648</v>
      </c>
      <c r="B29" s="1273" t="s">
        <v>799</v>
      </c>
      <c r="C29" s="1274"/>
      <c r="D29" s="1274"/>
      <c r="E29" s="1274"/>
      <c r="F29" s="1274"/>
      <c r="G29" s="1274"/>
      <c r="H29" s="1274"/>
    </row>
    <row r="30" spans="1:8" ht="12.75">
      <c r="A30" s="1274"/>
      <c r="B30" s="1274"/>
      <c r="C30" s="1274"/>
      <c r="D30" s="1274"/>
      <c r="E30" s="1274"/>
      <c r="F30" s="1274"/>
      <c r="G30" s="1274"/>
      <c r="H30" s="1274"/>
    </row>
    <row r="31" spans="1:8" ht="26.25" customHeight="1">
      <c r="A31" s="1497" t="s">
        <v>811</v>
      </c>
      <c r="B31" s="1497"/>
      <c r="C31" s="1497"/>
      <c r="D31" s="1497"/>
      <c r="E31" s="1497"/>
      <c r="F31" s="1497"/>
      <c r="G31" s="1497"/>
      <c r="H31" s="1497"/>
    </row>
    <row r="32" spans="1:8" ht="12.75" customHeight="1">
      <c r="A32" s="1279"/>
      <c r="B32" s="1279"/>
      <c r="C32" s="1279"/>
      <c r="D32" s="1279"/>
      <c r="E32" s="1279"/>
      <c r="F32" s="1279"/>
      <c r="G32" s="1279"/>
      <c r="H32" s="1279"/>
    </row>
    <row r="33" spans="1:8" ht="42" customHeight="1">
      <c r="A33" s="1498" t="s">
        <v>815</v>
      </c>
      <c r="B33" s="1498"/>
      <c r="C33" s="1498"/>
      <c r="D33" s="1498"/>
      <c r="E33" s="1498"/>
      <c r="F33" s="1498"/>
      <c r="G33" s="1498"/>
      <c r="H33" s="1498"/>
    </row>
    <row r="34" spans="1:8" ht="12.75">
      <c r="A34" s="1274"/>
      <c r="B34" s="1274"/>
      <c r="C34" s="1274"/>
      <c r="D34" s="1274"/>
      <c r="E34" s="1274"/>
      <c r="F34" s="1274"/>
      <c r="G34" s="1274"/>
      <c r="H34" s="1274"/>
    </row>
    <row r="35" spans="1:8" ht="12.75">
      <c r="A35" s="1274"/>
      <c r="B35" s="1274"/>
      <c r="C35" s="1274"/>
      <c r="D35" s="1274"/>
      <c r="E35" s="1274"/>
      <c r="F35" s="1274"/>
      <c r="G35" s="1274"/>
      <c r="H35" s="1274"/>
    </row>
    <row r="36" spans="1:8" ht="12.75">
      <c r="A36" s="1274"/>
      <c r="B36" s="1274"/>
      <c r="C36" s="1274"/>
      <c r="D36" s="1274"/>
      <c r="E36" s="1274"/>
      <c r="F36" s="1274"/>
      <c r="G36" s="1274"/>
      <c r="H36" s="1274"/>
    </row>
    <row r="37" spans="1:8" ht="12.75">
      <c r="A37" s="1274"/>
      <c r="B37" s="1274"/>
      <c r="C37" s="1274"/>
      <c r="D37" s="1274"/>
      <c r="E37" s="1274"/>
      <c r="F37" s="1274"/>
      <c r="G37" s="1274"/>
      <c r="H37" s="1274"/>
    </row>
    <row r="38" spans="1:8" ht="12.75">
      <c r="A38" s="1274"/>
      <c r="B38" s="1274"/>
      <c r="C38" s="1274"/>
      <c r="D38" s="1274"/>
      <c r="E38" s="1274"/>
      <c r="F38" s="1274"/>
      <c r="G38" s="1274"/>
      <c r="H38" s="1274"/>
    </row>
    <row r="39" spans="1:8" ht="12.75">
      <c r="A39" s="1274"/>
      <c r="B39" s="1274"/>
      <c r="C39" s="1274"/>
      <c r="D39" s="1274"/>
      <c r="E39" s="1274"/>
      <c r="F39" s="1274"/>
      <c r="G39" s="1274"/>
      <c r="H39" s="1274"/>
    </row>
    <row r="40" spans="1:8" ht="12.75">
      <c r="A40" s="1274"/>
      <c r="B40" s="1274"/>
      <c r="C40" s="1274"/>
      <c r="D40" s="1274"/>
      <c r="E40" s="1274"/>
      <c r="F40" s="1274"/>
      <c r="G40" s="1274"/>
      <c r="H40" s="1274"/>
    </row>
    <row r="41" spans="1:8" ht="12.75">
      <c r="A41" s="1274"/>
      <c r="B41" s="1274"/>
      <c r="C41" s="1274"/>
      <c r="D41" s="1274"/>
      <c r="E41" s="1274"/>
      <c r="F41" s="1274"/>
      <c r="G41" s="1274"/>
      <c r="H41" s="1274"/>
    </row>
    <row r="42" spans="1:8" ht="12.75">
      <c r="A42" s="1274"/>
      <c r="B42" s="1274"/>
      <c r="C42" s="1274"/>
      <c r="D42" s="1274"/>
      <c r="E42" s="1274"/>
      <c r="F42" s="1274"/>
      <c r="G42" s="1274"/>
      <c r="H42" s="1274"/>
    </row>
    <row r="43" spans="1:8" ht="12.75">
      <c r="A43" s="1274"/>
      <c r="B43" s="1274"/>
      <c r="C43" s="1274"/>
      <c r="D43" s="1274"/>
      <c r="E43" s="1274"/>
      <c r="F43" s="1274"/>
      <c r="G43" s="1274"/>
      <c r="H43" s="1274"/>
    </row>
    <row r="44" spans="1:8" ht="12.75">
      <c r="A44" s="1274"/>
      <c r="B44" s="1274"/>
      <c r="C44" s="1274"/>
      <c r="D44" s="1274"/>
      <c r="E44" s="1274"/>
      <c r="F44" s="1274"/>
      <c r="G44" s="1274"/>
      <c r="H44" s="1274"/>
    </row>
    <row r="45" spans="1:8" ht="12.75">
      <c r="A45" s="1274"/>
      <c r="B45" s="1274"/>
      <c r="C45" s="1274"/>
      <c r="D45" s="1274"/>
      <c r="E45" s="1274"/>
      <c r="F45" s="1274"/>
      <c r="G45" s="1274"/>
      <c r="H45" s="1274"/>
    </row>
    <row r="46" spans="1:8" ht="12.75">
      <c r="A46" s="1274"/>
      <c r="B46" s="1274"/>
      <c r="C46" s="1274"/>
      <c r="D46" s="1274"/>
      <c r="E46" s="1274"/>
      <c r="F46" s="1274"/>
      <c r="G46" s="1274"/>
      <c r="H46" s="1274"/>
    </row>
    <row r="47" spans="1:8" ht="12.75">
      <c r="A47" s="1274"/>
      <c r="B47" s="1274"/>
      <c r="C47" s="1274"/>
      <c r="D47" s="1274"/>
      <c r="E47" s="1274"/>
      <c r="F47" s="1274"/>
      <c r="G47" s="1274"/>
      <c r="H47" s="1274"/>
    </row>
    <row r="48" spans="1:8" ht="12.75">
      <c r="A48" s="1274"/>
      <c r="B48" s="1274"/>
      <c r="C48" s="1274"/>
      <c r="D48" s="1274"/>
      <c r="E48" s="1274"/>
      <c r="F48" s="1274"/>
      <c r="G48" s="1274"/>
      <c r="H48" s="1274"/>
    </row>
    <row r="49" spans="1:8" ht="12.75">
      <c r="A49" s="1274"/>
      <c r="B49" s="1274"/>
      <c r="C49" s="1274"/>
      <c r="D49" s="1274"/>
      <c r="E49" s="1274"/>
      <c r="F49" s="1274"/>
      <c r="G49" s="1274"/>
      <c r="H49" s="1274"/>
    </row>
    <row r="50" spans="1:8" ht="12.75">
      <c r="A50" s="1274"/>
      <c r="B50" s="1274"/>
      <c r="C50" s="1274"/>
      <c r="D50" s="1274"/>
      <c r="E50" s="1274"/>
      <c r="F50" s="1274"/>
      <c r="G50" s="1274"/>
      <c r="H50" s="1274"/>
    </row>
    <row r="51" spans="1:8" ht="12.75">
      <c r="A51" s="1274"/>
      <c r="B51" s="1274"/>
      <c r="C51" s="1274"/>
      <c r="D51" s="1274"/>
      <c r="E51" s="1274"/>
      <c r="F51" s="1274"/>
      <c r="G51" s="1274"/>
      <c r="H51" s="1274"/>
    </row>
    <row r="52" spans="1:8" ht="12.75">
      <c r="A52" s="1274"/>
      <c r="B52" s="1274"/>
      <c r="C52" s="1274"/>
      <c r="D52" s="1274"/>
      <c r="E52" s="1274"/>
      <c r="F52" s="1274"/>
      <c r="G52" s="1274"/>
      <c r="H52" s="1274"/>
    </row>
    <row r="53" spans="1:8" ht="12.75">
      <c r="A53" s="1274"/>
      <c r="B53" s="1274"/>
      <c r="C53" s="1274"/>
      <c r="D53" s="1274"/>
      <c r="E53" s="1274"/>
      <c r="F53" s="1274"/>
      <c r="G53" s="1274"/>
      <c r="H53" s="1274"/>
    </row>
    <row r="54" spans="1:8" ht="12.75">
      <c r="A54" s="1274"/>
      <c r="B54" s="1274"/>
      <c r="C54" s="1274"/>
      <c r="D54" s="1274"/>
      <c r="E54" s="1274"/>
      <c r="F54" s="1274"/>
      <c r="G54" s="1274"/>
      <c r="H54" s="1274"/>
    </row>
    <row r="55" spans="1:8" ht="12.75">
      <c r="A55" s="1274"/>
      <c r="B55" s="1274"/>
      <c r="C55" s="1274"/>
      <c r="D55" s="1274"/>
      <c r="E55" s="1274"/>
      <c r="F55" s="1274"/>
      <c r="G55" s="1274"/>
      <c r="H55" s="1274"/>
    </row>
    <row r="56" spans="1:8" ht="12.75">
      <c r="A56" s="1274"/>
      <c r="B56" s="1274"/>
      <c r="C56" s="1274"/>
      <c r="D56" s="1274"/>
      <c r="E56" s="1274"/>
      <c r="F56" s="1274"/>
      <c r="G56" s="1274"/>
      <c r="H56" s="1274"/>
    </row>
    <row r="57" spans="1:8" ht="12.75">
      <c r="A57" s="1274"/>
      <c r="B57" s="1274"/>
      <c r="C57" s="1274"/>
      <c r="D57" s="1274"/>
      <c r="E57" s="1274"/>
      <c r="F57" s="1274"/>
      <c r="G57" s="1274"/>
      <c r="H57" s="1274"/>
    </row>
  </sheetData>
  <sheetProtection/>
  <mergeCells count="3">
    <mergeCell ref="A31:H31"/>
    <mergeCell ref="A33:H33"/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view="pageBreakPreview" zoomScale="90" zoomScaleNormal="75" zoomScaleSheetLayoutView="90" zoomScalePageLayoutView="0" workbookViewId="0" topLeftCell="A1">
      <pane xSplit="2" ySplit="6" topLeftCell="N55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A77" sqref="A77:IV77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19.140625" style="0" customWidth="1"/>
    <col min="4" max="4" width="14.8515625" style="0" customWidth="1"/>
    <col min="5" max="5" width="15.28125" style="0" customWidth="1"/>
    <col min="6" max="6" width="15.57421875" style="0" customWidth="1"/>
    <col min="7" max="7" width="15.00390625" style="0" customWidth="1"/>
    <col min="8" max="8" width="16.140625" style="0" customWidth="1"/>
    <col min="9" max="9" width="16.7109375" style="0" customWidth="1"/>
    <col min="10" max="10" width="14.57421875" style="0" customWidth="1"/>
    <col min="11" max="11" width="17.28125" style="0" customWidth="1"/>
    <col min="12" max="12" width="14.8515625" style="0" customWidth="1"/>
    <col min="13" max="13" width="14.8515625" style="59" customWidth="1"/>
    <col min="14" max="14" width="16.57421875" style="0" customWidth="1"/>
    <col min="15" max="16" width="16.7109375" style="0" customWidth="1"/>
    <col min="17" max="18" width="16.421875" style="0" customWidth="1"/>
    <col min="19" max="19" width="14.8515625" style="0" customWidth="1"/>
    <col min="20" max="20" width="16.28125" style="0" bestFit="1" customWidth="1"/>
    <col min="22" max="22" width="14.7109375" style="55" customWidth="1"/>
  </cols>
  <sheetData>
    <row r="1" spans="4:8" ht="21" customHeight="1">
      <c r="D1" s="1324" t="s">
        <v>172</v>
      </c>
      <c r="E1" s="1325"/>
      <c r="F1" s="1325"/>
      <c r="G1" s="1325"/>
      <c r="H1" s="1326"/>
    </row>
    <row r="2" spans="1:20" ht="12.75" customHeight="1">
      <c r="A2" s="1310" t="s">
        <v>408</v>
      </c>
      <c r="B2" s="1301" t="s">
        <v>630</v>
      </c>
      <c r="C2" s="1312" t="s">
        <v>26</v>
      </c>
      <c r="D2" s="1315" t="s">
        <v>477</v>
      </c>
      <c r="E2" s="1315" t="s">
        <v>690</v>
      </c>
      <c r="F2" s="1315" t="s">
        <v>632</v>
      </c>
      <c r="G2" s="1311" t="s">
        <v>631</v>
      </c>
      <c r="H2" s="1311"/>
      <c r="I2" s="1306" t="s">
        <v>218</v>
      </c>
      <c r="J2" s="1318" t="s">
        <v>735</v>
      </c>
      <c r="K2" s="1312" t="s">
        <v>736</v>
      </c>
      <c r="L2" s="1301" t="s">
        <v>841</v>
      </c>
      <c r="M2" s="1321" t="s">
        <v>840</v>
      </c>
      <c r="N2" s="1327" t="s">
        <v>927</v>
      </c>
      <c r="O2" s="1312" t="s">
        <v>831</v>
      </c>
      <c r="P2" s="1306" t="s">
        <v>731</v>
      </c>
      <c r="Q2" s="1306" t="s">
        <v>839</v>
      </c>
      <c r="R2" s="1306" t="s">
        <v>933</v>
      </c>
      <c r="S2" s="1307" t="s">
        <v>732</v>
      </c>
      <c r="T2" s="1306" t="s">
        <v>58</v>
      </c>
    </row>
    <row r="3" spans="1:20" ht="20.25" customHeight="1">
      <c r="A3" s="1302"/>
      <c r="B3" s="1302"/>
      <c r="C3" s="1313"/>
      <c r="D3" s="1316"/>
      <c r="E3" s="1316"/>
      <c r="F3" s="1316"/>
      <c r="G3" s="1311"/>
      <c r="H3" s="1311"/>
      <c r="I3" s="1306"/>
      <c r="J3" s="1319"/>
      <c r="K3" s="1313"/>
      <c r="L3" s="1302"/>
      <c r="M3" s="1322"/>
      <c r="N3" s="1327"/>
      <c r="O3" s="1313"/>
      <c r="P3" s="1306"/>
      <c r="Q3" s="1306"/>
      <c r="R3" s="1306"/>
      <c r="S3" s="1308"/>
      <c r="T3" s="1306"/>
    </row>
    <row r="4" spans="1:22" ht="69.75" customHeight="1">
      <c r="A4" s="1302"/>
      <c r="B4" s="1302"/>
      <c r="C4" s="1313"/>
      <c r="D4" s="1316"/>
      <c r="E4" s="1316"/>
      <c r="F4" s="1316"/>
      <c r="G4" s="1311" t="s">
        <v>633</v>
      </c>
      <c r="H4" s="1311" t="s">
        <v>634</v>
      </c>
      <c r="I4" s="1306"/>
      <c r="J4" s="1319"/>
      <c r="K4" s="1313"/>
      <c r="L4" s="1302"/>
      <c r="M4" s="1322"/>
      <c r="N4" s="1327"/>
      <c r="O4" s="1313"/>
      <c r="P4" s="1306"/>
      <c r="Q4" s="1306"/>
      <c r="R4" s="1306"/>
      <c r="S4" s="1308"/>
      <c r="T4" s="1306"/>
      <c r="V4" s="1192"/>
    </row>
    <row r="5" spans="1:22" ht="13.5" customHeight="1">
      <c r="A5" s="1303"/>
      <c r="B5" s="1303"/>
      <c r="C5" s="1314"/>
      <c r="D5" s="1317"/>
      <c r="E5" s="1317"/>
      <c r="F5" s="1317"/>
      <c r="G5" s="1311"/>
      <c r="H5" s="1311"/>
      <c r="I5" s="1306"/>
      <c r="J5" s="1320"/>
      <c r="K5" s="1314"/>
      <c r="L5" s="1303"/>
      <c r="M5" s="1323"/>
      <c r="N5" s="1327"/>
      <c r="O5" s="1314"/>
      <c r="P5" s="1306"/>
      <c r="Q5" s="1306"/>
      <c r="R5" s="1306"/>
      <c r="S5" s="1309"/>
      <c r="T5" s="1306"/>
      <c r="V5" s="1192"/>
    </row>
    <row r="6" spans="1:22" s="1173" customFormat="1" ht="12.75">
      <c r="A6" s="1170"/>
      <c r="B6" s="1171"/>
      <c r="C6" s="1172">
        <f aca="true" t="shared" si="0" ref="C6:H6">B6+1</f>
        <v>1</v>
      </c>
      <c r="D6" s="1172">
        <f>C6+1</f>
        <v>2</v>
      </c>
      <c r="E6" s="1172">
        <f t="shared" si="0"/>
        <v>3</v>
      </c>
      <c r="F6" s="1172">
        <f t="shared" si="0"/>
        <v>4</v>
      </c>
      <c r="G6" s="1172">
        <f t="shared" si="0"/>
        <v>5</v>
      </c>
      <c r="H6" s="1172">
        <f t="shared" si="0"/>
        <v>6</v>
      </c>
      <c r="I6" s="1172">
        <f aca="true" t="shared" si="1" ref="I6:T6">H6+1</f>
        <v>7</v>
      </c>
      <c r="J6" s="1172">
        <f t="shared" si="1"/>
        <v>8</v>
      </c>
      <c r="K6" s="1172">
        <f t="shared" si="1"/>
        <v>9</v>
      </c>
      <c r="L6" s="1172">
        <f t="shared" si="1"/>
        <v>10</v>
      </c>
      <c r="M6" s="1172">
        <f t="shared" si="1"/>
        <v>11</v>
      </c>
      <c r="N6" s="1172">
        <f t="shared" si="1"/>
        <v>12</v>
      </c>
      <c r="O6" s="1172">
        <f t="shared" si="1"/>
        <v>13</v>
      </c>
      <c r="P6" s="1172">
        <f t="shared" si="1"/>
        <v>14</v>
      </c>
      <c r="Q6" s="1172">
        <f t="shared" si="1"/>
        <v>15</v>
      </c>
      <c r="R6" s="1172">
        <f t="shared" si="1"/>
        <v>16</v>
      </c>
      <c r="S6" s="1172">
        <f t="shared" si="1"/>
        <v>17</v>
      </c>
      <c r="T6" s="1172">
        <f t="shared" si="1"/>
        <v>18</v>
      </c>
      <c r="V6" s="1189"/>
    </row>
    <row r="7" spans="1:20" ht="12.75">
      <c r="A7" s="124">
        <v>1</v>
      </c>
      <c r="B7" s="404" t="s">
        <v>302</v>
      </c>
      <c r="C7" s="413">
        <f>'Table 3 Levels 1&amp;2'!AO8</f>
        <v>48548274.666912004</v>
      </c>
      <c r="D7" s="477">
        <f>'[13]Audit Adjs_09-10 BL_TOTAL'!E8</f>
        <v>0</v>
      </c>
      <c r="E7" s="477">
        <f>'[14]Audit Adjs - TOTAL'!F9</f>
        <v>563.0532404797978</v>
      </c>
      <c r="F7" s="477">
        <f>SUM(D7:E7)</f>
        <v>563.0532404797978</v>
      </c>
      <c r="G7" s="413">
        <f aca="true" t="shared" si="2" ref="G7:G70">IF(F7&gt;0,F7,0)</f>
        <v>563.0532404797978</v>
      </c>
      <c r="H7" s="477">
        <f>IF(F7&lt;0,F7,0)</f>
        <v>0</v>
      </c>
      <c r="I7" s="954">
        <f>ROUND(C7+F7,0)</f>
        <v>48548838</v>
      </c>
      <c r="J7" s="1030">
        <f>-'[17]FY2009-10 MFP SFSF Funds'!$D5</f>
        <v>-1484037</v>
      </c>
      <c r="K7" s="1035">
        <f>I7+J7</f>
        <v>47064801</v>
      </c>
      <c r="L7" s="413">
        <f>'Dec Midyear Adjustment'!O6</f>
        <v>1205659.7999999998</v>
      </c>
      <c r="M7" s="477">
        <f>'March Midyear Adjustment'!M6</f>
        <v>0</v>
      </c>
      <c r="N7" s="413"/>
      <c r="O7" s="1035">
        <f>K7+L7+M7+N7</f>
        <v>48270460.8</v>
      </c>
      <c r="P7" s="413">
        <f>'[26]MFP'!BY8</f>
        <v>32058138</v>
      </c>
      <c r="Q7" s="413">
        <f>O7-P7</f>
        <v>16212322.799999997</v>
      </c>
      <c r="R7" s="413">
        <f>ROUND(Q7/4,0)</f>
        <v>4053081</v>
      </c>
      <c r="S7" s="413">
        <f>'Table 4A Stipends'!G4</f>
        <v>0</v>
      </c>
      <c r="T7" s="413">
        <f aca="true" t="shared" si="3" ref="T7:T38">O7+S7</f>
        <v>48270460.8</v>
      </c>
    </row>
    <row r="8" spans="1:20" ht="12.75">
      <c r="A8" s="124">
        <v>2</v>
      </c>
      <c r="B8" s="404" t="s">
        <v>303</v>
      </c>
      <c r="C8" s="413">
        <f>'Table 3 Levels 1&amp;2'!AO9</f>
        <v>27149215.68762</v>
      </c>
      <c r="D8" s="477">
        <f>'[13]Audit Adjs_09-10 BL_TOTAL'!E9</f>
        <v>0</v>
      </c>
      <c r="E8" s="477">
        <f>'[14]Audit Adjs - TOTAL'!F10</f>
        <v>26742.905227900297</v>
      </c>
      <c r="F8" s="477">
        <f aca="true" t="shared" si="4" ref="F8:F71">SUM(D8:E8)</f>
        <v>26742.905227900297</v>
      </c>
      <c r="G8" s="413">
        <f t="shared" si="2"/>
        <v>26742.905227900297</v>
      </c>
      <c r="H8" s="477">
        <f aca="true" t="shared" si="5" ref="H8:H71">IF(F8&lt;0,F8,0)</f>
        <v>0</v>
      </c>
      <c r="I8" s="1035">
        <f aca="true" t="shared" si="6" ref="I8:I71">ROUND(C8+F8,0)</f>
        <v>27175959</v>
      </c>
      <c r="J8" s="1030">
        <f>-'[17]FY2009-10 MFP SFSF Funds'!$D6</f>
        <v>-829904</v>
      </c>
      <c r="K8" s="1035">
        <f aca="true" t="shared" si="7" ref="K8:K71">I8+J8</f>
        <v>26346055</v>
      </c>
      <c r="L8" s="413">
        <f>'Dec Midyear Adjustment'!O7</f>
        <v>0</v>
      </c>
      <c r="M8" s="477">
        <f>'March Midyear Adjustment'!M7</f>
        <v>0</v>
      </c>
      <c r="N8" s="413"/>
      <c r="O8" s="1035">
        <f aca="true" t="shared" si="8" ref="O8:O71">K8+L8+M8+N8</f>
        <v>26346055</v>
      </c>
      <c r="P8" s="413">
        <f>'[26]MFP'!BY9</f>
        <v>17656249</v>
      </c>
      <c r="Q8" s="413">
        <f aca="true" t="shared" si="9" ref="Q8:Q71">O8-P8</f>
        <v>8689806</v>
      </c>
      <c r="R8" s="413">
        <f aca="true" t="shared" si="10" ref="R8:R71">ROUND(Q8/4,0)</f>
        <v>2172452</v>
      </c>
      <c r="S8" s="413">
        <f>'Table 4A Stipends'!G5</f>
        <v>0</v>
      </c>
      <c r="T8" s="413">
        <f t="shared" si="3"/>
        <v>26346055</v>
      </c>
    </row>
    <row r="9" spans="1:20" ht="12.75">
      <c r="A9" s="124">
        <v>3</v>
      </c>
      <c r="B9" s="404" t="s">
        <v>304</v>
      </c>
      <c r="C9" s="413">
        <f>'Table 3 Levels 1&amp;2'!AO10</f>
        <v>88115455.2571184</v>
      </c>
      <c r="D9" s="477">
        <f>'[13]Audit Adjs_09-10 BL_TOTAL'!E10</f>
        <v>0</v>
      </c>
      <c r="E9" s="477">
        <f>'[14]Audit Adjs - TOTAL'!F11</f>
        <v>2939.0925613045183</v>
      </c>
      <c r="F9" s="477">
        <f t="shared" si="4"/>
        <v>2939.0925613045183</v>
      </c>
      <c r="G9" s="413">
        <f t="shared" si="2"/>
        <v>2939.0925613045183</v>
      </c>
      <c r="H9" s="477">
        <f t="shared" si="5"/>
        <v>0</v>
      </c>
      <c r="I9" s="1035">
        <f t="shared" si="6"/>
        <v>88118394</v>
      </c>
      <c r="J9" s="1030">
        <f>-'[17]FY2009-10 MFP SFSF Funds'!$D7</f>
        <v>-2693537</v>
      </c>
      <c r="K9" s="1035">
        <f t="shared" si="7"/>
        <v>85424857</v>
      </c>
      <c r="L9" s="413">
        <f>'Dec Midyear Adjustment'!O8</f>
        <v>1907547.0969818796</v>
      </c>
      <c r="M9" s="477">
        <f>'March Midyear Adjustment'!M8</f>
        <v>0</v>
      </c>
      <c r="N9" s="413"/>
      <c r="O9" s="1035">
        <f t="shared" si="8"/>
        <v>87332404.09698188</v>
      </c>
      <c r="P9" s="413">
        <f>'[26]MFP'!BY10</f>
        <v>58066706</v>
      </c>
      <c r="Q9" s="413">
        <f t="shared" si="9"/>
        <v>29265698.096981883</v>
      </c>
      <c r="R9" s="413">
        <f t="shared" si="10"/>
        <v>7316425</v>
      </c>
      <c r="S9" s="413">
        <f>'Table 4A Stipends'!G6</f>
        <v>0</v>
      </c>
      <c r="T9" s="413">
        <f t="shared" si="3"/>
        <v>87332404.09698188</v>
      </c>
    </row>
    <row r="10" spans="1:20" ht="12.75">
      <c r="A10" s="124">
        <v>4</v>
      </c>
      <c r="B10" s="404" t="s">
        <v>305</v>
      </c>
      <c r="C10" s="413">
        <f>'Table 3 Levels 1&amp;2'!AO11</f>
        <v>24890197.410064</v>
      </c>
      <c r="D10" s="477">
        <f>'[13]Audit Adjs_09-10 BL_TOTAL'!E11</f>
        <v>0</v>
      </c>
      <c r="E10" s="477">
        <f>'[14]Audit Adjs - TOTAL'!F12</f>
        <v>-22109.3152961041</v>
      </c>
      <c r="F10" s="477">
        <f t="shared" si="4"/>
        <v>-22109.3152961041</v>
      </c>
      <c r="G10" s="413">
        <f t="shared" si="2"/>
        <v>0</v>
      </c>
      <c r="H10" s="477">
        <f t="shared" si="5"/>
        <v>-22109.3152961041</v>
      </c>
      <c r="I10" s="1035">
        <f t="shared" si="6"/>
        <v>24868088</v>
      </c>
      <c r="J10" s="1030">
        <f>-'[17]FY2009-10 MFP SFSF Funds'!$D8</f>
        <v>-760850</v>
      </c>
      <c r="K10" s="1035">
        <f t="shared" si="7"/>
        <v>24107238</v>
      </c>
      <c r="L10" s="413">
        <f>'Dec Midyear Adjustment'!O9</f>
        <v>0</v>
      </c>
      <c r="M10" s="477">
        <f>'March Midyear Adjustment'!M9</f>
        <v>0</v>
      </c>
      <c r="N10" s="413"/>
      <c r="O10" s="1035">
        <f t="shared" si="8"/>
        <v>24107238</v>
      </c>
      <c r="P10" s="413">
        <f>'[26]MFP'!BY11</f>
        <v>16156033</v>
      </c>
      <c r="Q10" s="413">
        <f t="shared" si="9"/>
        <v>7951205</v>
      </c>
      <c r="R10" s="413">
        <f t="shared" si="10"/>
        <v>1987801</v>
      </c>
      <c r="S10" s="413">
        <f>'Table 4A Stipends'!G7</f>
        <v>22000</v>
      </c>
      <c r="T10" s="413">
        <f t="shared" si="3"/>
        <v>24129238</v>
      </c>
    </row>
    <row r="11" spans="1:20" ht="12.75">
      <c r="A11" s="125">
        <v>5</v>
      </c>
      <c r="B11" s="405" t="s">
        <v>306</v>
      </c>
      <c r="C11" s="422">
        <f>'Table 3 Levels 1&amp;2'!AO12</f>
        <v>32622733.985976003</v>
      </c>
      <c r="D11" s="478">
        <f>'[13]Audit Adjs_09-10 BL_TOTAL'!E12</f>
        <v>0</v>
      </c>
      <c r="E11" s="478">
        <f>'[14]Audit Adjs - TOTAL'!F13</f>
        <v>-108468.29764597304</v>
      </c>
      <c r="F11" s="478">
        <f t="shared" si="4"/>
        <v>-108468.29764597304</v>
      </c>
      <c r="G11" s="422">
        <f t="shared" si="2"/>
        <v>0</v>
      </c>
      <c r="H11" s="478">
        <f t="shared" si="5"/>
        <v>-108468.29764597304</v>
      </c>
      <c r="I11" s="1036">
        <f t="shared" si="6"/>
        <v>32514266</v>
      </c>
      <c r="J11" s="1037">
        <f>-'[17]FY2009-10 MFP SFSF Funds'!$D9</f>
        <v>-997220</v>
      </c>
      <c r="K11" s="1036">
        <f t="shared" si="7"/>
        <v>31517046</v>
      </c>
      <c r="L11" s="422">
        <f>'Dec Midyear Adjustment'!O10</f>
        <v>0</v>
      </c>
      <c r="M11" s="478">
        <f>'March Midyear Adjustment'!M10</f>
        <v>0</v>
      </c>
      <c r="N11" s="422"/>
      <c r="O11" s="1036">
        <f t="shared" si="8"/>
        <v>31517046</v>
      </c>
      <c r="P11" s="422">
        <f>'[26]MFP'!BY12</f>
        <v>21122166</v>
      </c>
      <c r="Q11" s="422">
        <f t="shared" si="9"/>
        <v>10394880</v>
      </c>
      <c r="R11" s="422">
        <f t="shared" si="10"/>
        <v>2598720</v>
      </c>
      <c r="S11" s="422">
        <f>'Table 4A Stipends'!G8</f>
        <v>0</v>
      </c>
      <c r="T11" s="422">
        <f t="shared" si="3"/>
        <v>31517046</v>
      </c>
    </row>
    <row r="12" spans="1:20" ht="12.75">
      <c r="A12" s="124">
        <v>6</v>
      </c>
      <c r="B12" s="404" t="s">
        <v>307</v>
      </c>
      <c r="C12" s="413">
        <f>'Table 3 Levels 1&amp;2'!AO13</f>
        <v>35009314.924720004</v>
      </c>
      <c r="D12" s="477">
        <f>'[13]Audit Adjs_09-10 BL_TOTAL'!E13</f>
        <v>0</v>
      </c>
      <c r="E12" s="477">
        <f>'[14]Audit Adjs - TOTAL'!F14</f>
        <v>-300005.6234746691</v>
      </c>
      <c r="F12" s="477">
        <f t="shared" si="4"/>
        <v>-300005.6234746691</v>
      </c>
      <c r="G12" s="413">
        <f t="shared" si="2"/>
        <v>0</v>
      </c>
      <c r="H12" s="477">
        <f t="shared" si="5"/>
        <v>-300005.6234746691</v>
      </c>
      <c r="I12" s="1035">
        <f t="shared" si="6"/>
        <v>34709309</v>
      </c>
      <c r="J12" s="1030">
        <f>-'[17]FY2009-10 MFP SFSF Funds'!$D10</f>
        <v>-1070174</v>
      </c>
      <c r="K12" s="1035">
        <f t="shared" si="7"/>
        <v>33639135</v>
      </c>
      <c r="L12" s="413">
        <f>'Dec Midyear Adjustment'!O11</f>
        <v>521289.2916032758</v>
      </c>
      <c r="M12" s="477">
        <f>'March Midyear Adjustment'!M11</f>
        <v>0</v>
      </c>
      <c r="N12" s="413"/>
      <c r="O12" s="1035">
        <f t="shared" si="8"/>
        <v>34160424.291603275</v>
      </c>
      <c r="P12" s="413">
        <f>'[26]MFP'!BY13</f>
        <v>22768406</v>
      </c>
      <c r="Q12" s="413">
        <f t="shared" si="9"/>
        <v>11392018.291603275</v>
      </c>
      <c r="R12" s="413">
        <f t="shared" si="10"/>
        <v>2848005</v>
      </c>
      <c r="S12" s="413">
        <f>'Table 4A Stipends'!G9</f>
        <v>0</v>
      </c>
      <c r="T12" s="413">
        <f t="shared" si="3"/>
        <v>34160424.291603275</v>
      </c>
    </row>
    <row r="13" spans="1:20" ht="12.75">
      <c r="A13" s="124">
        <v>7</v>
      </c>
      <c r="B13" s="404" t="s">
        <v>308</v>
      </c>
      <c r="C13" s="413">
        <f>'Table 3 Levels 1&amp;2'!AO14</f>
        <v>7011401.8190728</v>
      </c>
      <c r="D13" s="477">
        <f>'[13]Audit Adjs_09-10 BL_TOTAL'!E14</f>
        <v>0</v>
      </c>
      <c r="E13" s="477">
        <f>'[14]Audit Adjs - TOTAL'!F15</f>
        <v>5743.999304029305</v>
      </c>
      <c r="F13" s="477">
        <f t="shared" si="4"/>
        <v>5743.999304029305</v>
      </c>
      <c r="G13" s="413">
        <f t="shared" si="2"/>
        <v>5743.999304029305</v>
      </c>
      <c r="H13" s="477">
        <f t="shared" si="5"/>
        <v>0</v>
      </c>
      <c r="I13" s="1035">
        <f t="shared" si="6"/>
        <v>7017146</v>
      </c>
      <c r="J13" s="1030">
        <f>-'[17]FY2009-10 MFP SFSF Funds'!$D11</f>
        <v>-214326</v>
      </c>
      <c r="K13" s="1035">
        <f t="shared" si="7"/>
        <v>6802820</v>
      </c>
      <c r="L13" s="413">
        <f>'Dec Midyear Adjustment'!O12</f>
        <v>185032.2817474443</v>
      </c>
      <c r="M13" s="477">
        <f>'March Midyear Adjustment'!M12</f>
        <v>79299.54932033327</v>
      </c>
      <c r="N13" s="413"/>
      <c r="O13" s="1035">
        <f t="shared" si="8"/>
        <v>7067151.831067778</v>
      </c>
      <c r="P13" s="413">
        <f>'[26]MFP'!BY14</f>
        <v>4638327</v>
      </c>
      <c r="Q13" s="413">
        <f t="shared" si="9"/>
        <v>2428824.831067778</v>
      </c>
      <c r="R13" s="413">
        <f t="shared" si="10"/>
        <v>607206</v>
      </c>
      <c r="S13" s="413">
        <f>'Table 4A Stipends'!G10</f>
        <v>0</v>
      </c>
      <c r="T13" s="413">
        <f t="shared" si="3"/>
        <v>7067151.831067778</v>
      </c>
    </row>
    <row r="14" spans="1:20" ht="12.75">
      <c r="A14" s="124">
        <v>8</v>
      </c>
      <c r="B14" s="404" t="s">
        <v>309</v>
      </c>
      <c r="C14" s="413">
        <f>'Table 3 Levels 1&amp;2'!AO15</f>
        <v>96158143.02334039</v>
      </c>
      <c r="D14" s="477">
        <f>'[13]Audit Adjs_09-10 BL_TOTAL'!E15</f>
        <v>0</v>
      </c>
      <c r="E14" s="477">
        <f>'[14]Audit Adjs - TOTAL'!F16</f>
        <v>-9124.712138198458</v>
      </c>
      <c r="F14" s="477">
        <f t="shared" si="4"/>
        <v>-9124.712138198458</v>
      </c>
      <c r="G14" s="413">
        <f t="shared" si="2"/>
        <v>0</v>
      </c>
      <c r="H14" s="477">
        <f t="shared" si="5"/>
        <v>-9124.712138198458</v>
      </c>
      <c r="I14" s="1035">
        <f t="shared" si="6"/>
        <v>96149018</v>
      </c>
      <c r="J14" s="1030">
        <f>-'[17]FY2009-10 MFP SFSF Funds'!$D12</f>
        <v>-2939388</v>
      </c>
      <c r="K14" s="1035">
        <f t="shared" si="7"/>
        <v>93209630</v>
      </c>
      <c r="L14" s="413">
        <f>'Dec Midyear Adjustment'!O13</f>
        <v>3311326.987215954</v>
      </c>
      <c r="M14" s="477">
        <f>'March Midyear Adjustment'!M13</f>
        <v>0</v>
      </c>
      <c r="N14" s="413"/>
      <c r="O14" s="1035">
        <f t="shared" si="8"/>
        <v>96520956.98721595</v>
      </c>
      <c r="P14" s="413">
        <f>'[26]MFP'!BY15</f>
        <v>63885492</v>
      </c>
      <c r="Q14" s="413">
        <f t="shared" si="9"/>
        <v>32635464.98721595</v>
      </c>
      <c r="R14" s="413">
        <f t="shared" si="10"/>
        <v>8158866</v>
      </c>
      <c r="S14" s="413">
        <f>'Table 4A Stipends'!G11</f>
        <v>26000</v>
      </c>
      <c r="T14" s="413">
        <f t="shared" si="3"/>
        <v>96546956.98721595</v>
      </c>
    </row>
    <row r="15" spans="1:20" ht="12.75">
      <c r="A15" s="124">
        <v>9</v>
      </c>
      <c r="B15" s="404" t="s">
        <v>310</v>
      </c>
      <c r="C15" s="413">
        <f>'Table 3 Levels 1&amp;2'!AO16</f>
        <v>219639008.9371008</v>
      </c>
      <c r="D15" s="477">
        <f>'[13]Audit Adjs_09-10 BL_TOTAL'!E16</f>
        <v>0</v>
      </c>
      <c r="E15" s="477">
        <f>'[14]Audit Adjs - TOTAL'!F17</f>
        <v>-640721.4812895427</v>
      </c>
      <c r="F15" s="477">
        <f t="shared" si="4"/>
        <v>-640721.4812895427</v>
      </c>
      <c r="G15" s="413">
        <f t="shared" si="2"/>
        <v>0</v>
      </c>
      <c r="H15" s="477">
        <f t="shared" si="5"/>
        <v>-640721.4812895427</v>
      </c>
      <c r="I15" s="1035">
        <f t="shared" si="6"/>
        <v>218998287</v>
      </c>
      <c r="J15" s="1030">
        <f>-'[17]FY2009-10 MFP SFSF Funds'!$D13</f>
        <v>-6713983</v>
      </c>
      <c r="K15" s="1035">
        <f t="shared" si="7"/>
        <v>212284304</v>
      </c>
      <c r="L15" s="413">
        <f>'Dec Midyear Adjustment'!O14+'Dec Midyear Adjustment'!O143</f>
        <v>1518413.2597537064</v>
      </c>
      <c r="M15" s="477">
        <f>'March Midyear Adjustment'!M14+'March Midyear Adjustment'!M142</f>
        <v>0</v>
      </c>
      <c r="N15" s="477">
        <f>-'Table 5B2_RSD_LA'!S29</f>
        <v>-4758676.021092519</v>
      </c>
      <c r="O15" s="1035">
        <f t="shared" si="8"/>
        <v>209044041.23866117</v>
      </c>
      <c r="P15" s="1029">
        <f>'[26]MFP'!$BY$72</f>
        <v>139578292</v>
      </c>
      <c r="Q15" s="413">
        <f t="shared" si="9"/>
        <v>69465749.23866117</v>
      </c>
      <c r="R15" s="413">
        <f t="shared" si="10"/>
        <v>17366437</v>
      </c>
      <c r="S15" s="413">
        <f>'Table 4A Stipends'!G12</f>
        <v>48000</v>
      </c>
      <c r="T15" s="477">
        <f t="shared" si="3"/>
        <v>209092041.23866117</v>
      </c>
    </row>
    <row r="16" spans="1:20" ht="12.75">
      <c r="A16" s="125">
        <v>10</v>
      </c>
      <c r="B16" s="405" t="s">
        <v>311</v>
      </c>
      <c r="C16" s="422">
        <f>'Table 3 Levels 1&amp;2'!AO17</f>
        <v>146814442.3263408</v>
      </c>
      <c r="D16" s="478">
        <f>'[13]Audit Adjs_09-10 BL_TOTAL'!E17</f>
        <v>0</v>
      </c>
      <c r="E16" s="478">
        <f>'[14]Audit Adjs - TOTAL'!F18</f>
        <v>-370182.23227000935</v>
      </c>
      <c r="F16" s="478">
        <f t="shared" si="4"/>
        <v>-370182.23227000935</v>
      </c>
      <c r="G16" s="422">
        <f t="shared" si="2"/>
        <v>0</v>
      </c>
      <c r="H16" s="478">
        <f t="shared" si="5"/>
        <v>-370182.23227000935</v>
      </c>
      <c r="I16" s="1036">
        <f t="shared" si="6"/>
        <v>146444260</v>
      </c>
      <c r="J16" s="1037">
        <f>-'[17]FY2009-10 MFP SFSF Funds'!$D14</f>
        <v>-4487863</v>
      </c>
      <c r="K16" s="1036">
        <f t="shared" si="7"/>
        <v>141956397</v>
      </c>
      <c r="L16" s="422">
        <f>'Dec Midyear Adjustment'!O15</f>
        <v>2248663.6623392007</v>
      </c>
      <c r="M16" s="478">
        <f>'March Midyear Adjustment'!M15</f>
        <v>0</v>
      </c>
      <c r="N16" s="422"/>
      <c r="O16" s="1036">
        <f t="shared" si="8"/>
        <v>144205060.6623392</v>
      </c>
      <c r="P16" s="422">
        <f>'[26]MFP'!BY16</f>
        <v>96099963</v>
      </c>
      <c r="Q16" s="422">
        <f t="shared" si="9"/>
        <v>48105097.66233921</v>
      </c>
      <c r="R16" s="422">
        <f t="shared" si="10"/>
        <v>12026274</v>
      </c>
      <c r="S16" s="422">
        <f>'Table 4A Stipends'!G13</f>
        <v>106000</v>
      </c>
      <c r="T16" s="422">
        <f t="shared" si="3"/>
        <v>144311060.6623392</v>
      </c>
    </row>
    <row r="17" spans="1:20" ht="12.75">
      <c r="A17" s="124">
        <v>11</v>
      </c>
      <c r="B17" s="404" t="s">
        <v>312</v>
      </c>
      <c r="C17" s="413">
        <f>'Table 3 Levels 1&amp;2'!AO18</f>
        <v>10820993.08884</v>
      </c>
      <c r="D17" s="477">
        <f>'[13]Audit Adjs_09-10 BL_TOTAL'!E18</f>
        <v>0</v>
      </c>
      <c r="E17" s="477">
        <f>'[14]Audit Adjs - TOTAL'!F19</f>
        <v>-10977.910204081632</v>
      </c>
      <c r="F17" s="477">
        <f t="shared" si="4"/>
        <v>-10977.910204081632</v>
      </c>
      <c r="G17" s="413">
        <f t="shared" si="2"/>
        <v>0</v>
      </c>
      <c r="H17" s="477">
        <f t="shared" si="5"/>
        <v>-10977.910204081632</v>
      </c>
      <c r="I17" s="1035">
        <f t="shared" si="6"/>
        <v>10810015</v>
      </c>
      <c r="J17" s="1030">
        <f>-'[17]FY2009-10 MFP SFSF Funds'!$D15</f>
        <v>-330779</v>
      </c>
      <c r="K17" s="1035">
        <f t="shared" si="7"/>
        <v>10479236</v>
      </c>
      <c r="L17" s="413">
        <f>'Dec Midyear Adjustment'!O16</f>
        <v>0</v>
      </c>
      <c r="M17" s="477">
        <f>'March Midyear Adjustment'!M16</f>
        <v>0</v>
      </c>
      <c r="N17" s="413"/>
      <c r="O17" s="1035">
        <f t="shared" si="8"/>
        <v>10479236</v>
      </c>
      <c r="P17" s="413">
        <f>'[26]MFP'!BY17</f>
        <v>7022910</v>
      </c>
      <c r="Q17" s="413">
        <f t="shared" si="9"/>
        <v>3456326</v>
      </c>
      <c r="R17" s="413">
        <f t="shared" si="10"/>
        <v>864082</v>
      </c>
      <c r="S17" s="413">
        <f>'Table 4A Stipends'!G14</f>
        <v>0</v>
      </c>
      <c r="T17" s="413">
        <f t="shared" si="3"/>
        <v>10479236</v>
      </c>
    </row>
    <row r="18" spans="1:20" ht="12.75">
      <c r="A18" s="124">
        <v>12</v>
      </c>
      <c r="B18" s="404" t="s">
        <v>313</v>
      </c>
      <c r="C18" s="413">
        <f>'Table 3 Levels 1&amp;2'!AO19</f>
        <v>5010484.405344</v>
      </c>
      <c r="D18" s="477">
        <f>'[13]Audit Adjs_09-10 BL_TOTAL'!E19</f>
        <v>0</v>
      </c>
      <c r="E18" s="477">
        <f>'[14]Audit Adjs - TOTAL'!F20</f>
        <v>0</v>
      </c>
      <c r="F18" s="477">
        <f t="shared" si="4"/>
        <v>0</v>
      </c>
      <c r="G18" s="413">
        <f t="shared" si="2"/>
        <v>0</v>
      </c>
      <c r="H18" s="477">
        <f t="shared" si="5"/>
        <v>0</v>
      </c>
      <c r="I18" s="1035">
        <f t="shared" si="6"/>
        <v>5010484</v>
      </c>
      <c r="J18" s="1030">
        <f>-'[17]FY2009-10 MFP SFSF Funds'!$D16</f>
        <v>-153162</v>
      </c>
      <c r="K18" s="1035">
        <f t="shared" si="7"/>
        <v>4857322</v>
      </c>
      <c r="L18" s="413">
        <f>'Dec Midyear Adjustment'!O17</f>
        <v>0</v>
      </c>
      <c r="M18" s="477">
        <f>'March Midyear Adjustment'!M17</f>
        <v>0</v>
      </c>
      <c r="N18" s="413"/>
      <c r="O18" s="1035">
        <f t="shared" si="8"/>
        <v>4857322</v>
      </c>
      <c r="P18" s="413">
        <f>'[26]MFP'!BY18</f>
        <v>3255233</v>
      </c>
      <c r="Q18" s="413">
        <f t="shared" si="9"/>
        <v>1602089</v>
      </c>
      <c r="R18" s="413">
        <f t="shared" si="10"/>
        <v>400522</v>
      </c>
      <c r="S18" s="413">
        <f>'Table 4A Stipends'!G15</f>
        <v>6000</v>
      </c>
      <c r="T18" s="413">
        <f t="shared" si="3"/>
        <v>4863322</v>
      </c>
    </row>
    <row r="19" spans="1:20" ht="12.75">
      <c r="A19" s="124">
        <v>13</v>
      </c>
      <c r="B19" s="404" t="s">
        <v>314</v>
      </c>
      <c r="C19" s="413">
        <f>'Table 3 Levels 1&amp;2'!AO20</f>
        <v>10173291.742436</v>
      </c>
      <c r="D19" s="477">
        <f>'[13]Audit Adjs_09-10 BL_TOTAL'!E20</f>
        <v>0</v>
      </c>
      <c r="E19" s="477">
        <f>'[14]Audit Adjs - TOTAL'!F21</f>
        <v>-1021.8360578868651</v>
      </c>
      <c r="F19" s="477">
        <f t="shared" si="4"/>
        <v>-1021.8360578868651</v>
      </c>
      <c r="G19" s="413">
        <f t="shared" si="2"/>
        <v>0</v>
      </c>
      <c r="H19" s="477">
        <f t="shared" si="5"/>
        <v>-1021.8360578868651</v>
      </c>
      <c r="I19" s="1035">
        <f t="shared" si="6"/>
        <v>10172270</v>
      </c>
      <c r="J19" s="1030">
        <f>-'[17]FY2009-10 MFP SFSF Funds'!$D17</f>
        <v>-310980</v>
      </c>
      <c r="K19" s="1035">
        <f t="shared" si="7"/>
        <v>9861290</v>
      </c>
      <c r="L19" s="413">
        <f>'Dec Midyear Adjustment'!O18</f>
        <v>0</v>
      </c>
      <c r="M19" s="477">
        <f>'March Midyear Adjustment'!M18</f>
        <v>0</v>
      </c>
      <c r="N19" s="413"/>
      <c r="O19" s="1035">
        <f t="shared" si="8"/>
        <v>9861290</v>
      </c>
      <c r="P19" s="413">
        <f>'[26]MFP'!BY19</f>
        <v>6608747</v>
      </c>
      <c r="Q19" s="413">
        <f t="shared" si="9"/>
        <v>3252543</v>
      </c>
      <c r="R19" s="413">
        <f t="shared" si="10"/>
        <v>813136</v>
      </c>
      <c r="S19" s="413">
        <f>'Table 4A Stipends'!G16</f>
        <v>0</v>
      </c>
      <c r="T19" s="413">
        <f t="shared" si="3"/>
        <v>9861290</v>
      </c>
    </row>
    <row r="20" spans="1:20" ht="12.75">
      <c r="A20" s="124">
        <v>14</v>
      </c>
      <c r="B20" s="404" t="s">
        <v>315</v>
      </c>
      <c r="C20" s="413">
        <f>'Table 3 Levels 1&amp;2'!AO21</f>
        <v>15092437.07324</v>
      </c>
      <c r="D20" s="477">
        <f>'[13]Audit Adjs_09-10 BL_TOTAL'!E21</f>
        <v>0</v>
      </c>
      <c r="E20" s="477">
        <f>'[14]Audit Adjs - TOTAL'!F22</f>
        <v>-96376.71716283311</v>
      </c>
      <c r="F20" s="477">
        <f t="shared" si="4"/>
        <v>-96376.71716283311</v>
      </c>
      <c r="G20" s="413">
        <f t="shared" si="2"/>
        <v>0</v>
      </c>
      <c r="H20" s="477">
        <f t="shared" si="5"/>
        <v>-96376.71716283311</v>
      </c>
      <c r="I20" s="1035">
        <f t="shared" si="6"/>
        <v>14996060</v>
      </c>
      <c r="J20" s="1030">
        <f>-'[17]FY2009-10 MFP SFSF Funds'!$D18</f>
        <v>-461350</v>
      </c>
      <c r="K20" s="1035">
        <f t="shared" si="7"/>
        <v>14534710</v>
      </c>
      <c r="L20" s="413">
        <f>'Dec Midyear Adjustment'!O19</f>
        <v>0</v>
      </c>
      <c r="M20" s="477">
        <f>'March Midyear Adjustment'!M19</f>
        <v>0</v>
      </c>
      <c r="N20" s="413"/>
      <c r="O20" s="1035">
        <f t="shared" si="8"/>
        <v>14534710</v>
      </c>
      <c r="P20" s="413">
        <f>'[26]MFP'!BY20</f>
        <v>9741069</v>
      </c>
      <c r="Q20" s="413">
        <f t="shared" si="9"/>
        <v>4793641</v>
      </c>
      <c r="R20" s="413">
        <f t="shared" si="10"/>
        <v>1198410</v>
      </c>
      <c r="S20" s="413">
        <f>'Table 4A Stipends'!G17</f>
        <v>0</v>
      </c>
      <c r="T20" s="413">
        <f t="shared" si="3"/>
        <v>14534710</v>
      </c>
    </row>
    <row r="21" spans="1:20" ht="12.75">
      <c r="A21" s="125">
        <v>15</v>
      </c>
      <c r="B21" s="405" t="s">
        <v>316</v>
      </c>
      <c r="C21" s="422">
        <f>'Table 3 Levels 1&amp;2'!AO22</f>
        <v>22201440.195284</v>
      </c>
      <c r="D21" s="478">
        <f>'[13]Audit Adjs_09-10 BL_TOTAL'!E22</f>
        <v>0</v>
      </c>
      <c r="E21" s="478">
        <f>'[14]Audit Adjs - TOTAL'!F23</f>
        <v>0</v>
      </c>
      <c r="F21" s="478">
        <f t="shared" si="4"/>
        <v>0</v>
      </c>
      <c r="G21" s="422">
        <f t="shared" si="2"/>
        <v>0</v>
      </c>
      <c r="H21" s="478">
        <f t="shared" si="5"/>
        <v>0</v>
      </c>
      <c r="I21" s="1036">
        <f t="shared" si="6"/>
        <v>22201440</v>
      </c>
      <c r="J21" s="1037">
        <f>-'[17]FY2009-10 MFP SFSF Funds'!$D19</f>
        <v>-678660</v>
      </c>
      <c r="K21" s="1036">
        <f t="shared" si="7"/>
        <v>21522780</v>
      </c>
      <c r="L21" s="422">
        <f>'Dec Midyear Adjustment'!O20</f>
        <v>0</v>
      </c>
      <c r="M21" s="478">
        <f>'March Midyear Adjustment'!M20</f>
        <v>0</v>
      </c>
      <c r="N21" s="422"/>
      <c r="O21" s="1036">
        <f t="shared" si="8"/>
        <v>21522780</v>
      </c>
      <c r="P21" s="422">
        <f>'[26]MFP'!BY21</f>
        <v>14423927</v>
      </c>
      <c r="Q21" s="422">
        <f t="shared" si="9"/>
        <v>7098853</v>
      </c>
      <c r="R21" s="422">
        <f t="shared" si="10"/>
        <v>1774713</v>
      </c>
      <c r="S21" s="422">
        <f>'Table 4A Stipends'!G18</f>
        <v>4000</v>
      </c>
      <c r="T21" s="422">
        <f t="shared" si="3"/>
        <v>21526780</v>
      </c>
    </row>
    <row r="22" spans="1:20" ht="12.75">
      <c r="A22" s="124">
        <v>16</v>
      </c>
      <c r="B22" s="404" t="s">
        <v>317</v>
      </c>
      <c r="C22" s="413">
        <f>'Table 3 Levels 1&amp;2'!AO23</f>
        <v>22814686.443865605</v>
      </c>
      <c r="D22" s="477">
        <f>'[13]Audit Adjs_09-10 BL_TOTAL'!E23</f>
        <v>0</v>
      </c>
      <c r="E22" s="477">
        <f>'[14]Audit Adjs - TOTAL'!F24</f>
        <v>-22511.952430771133</v>
      </c>
      <c r="F22" s="477">
        <f t="shared" si="4"/>
        <v>-22511.952430771133</v>
      </c>
      <c r="G22" s="413">
        <f t="shared" si="2"/>
        <v>0</v>
      </c>
      <c r="H22" s="477">
        <f t="shared" si="5"/>
        <v>-22511.952430771133</v>
      </c>
      <c r="I22" s="1035">
        <f t="shared" si="6"/>
        <v>22792174</v>
      </c>
      <c r="J22" s="1030">
        <f>-'[17]FY2009-10 MFP SFSF Funds'!$D20</f>
        <v>-697405</v>
      </c>
      <c r="K22" s="1035">
        <f t="shared" si="7"/>
        <v>22094769</v>
      </c>
      <c r="L22" s="413">
        <f>'Dec Midyear Adjustment'!O21</f>
        <v>0</v>
      </c>
      <c r="M22" s="477">
        <f>'March Midyear Adjustment'!M21</f>
        <v>0</v>
      </c>
      <c r="N22" s="413"/>
      <c r="O22" s="1035">
        <f t="shared" si="8"/>
        <v>22094769</v>
      </c>
      <c r="P22" s="413">
        <f>'[26]MFP'!BY22</f>
        <v>14807336</v>
      </c>
      <c r="Q22" s="413">
        <f t="shared" si="9"/>
        <v>7287433</v>
      </c>
      <c r="R22" s="413">
        <f t="shared" si="10"/>
        <v>1821858</v>
      </c>
      <c r="S22" s="413">
        <f>'Table 4A Stipends'!G19</f>
        <v>8000</v>
      </c>
      <c r="T22" s="413">
        <f t="shared" si="3"/>
        <v>22102769</v>
      </c>
    </row>
    <row r="23" spans="1:20" ht="12.75">
      <c r="A23" s="124">
        <v>17</v>
      </c>
      <c r="B23" s="404" t="s">
        <v>318</v>
      </c>
      <c r="C23" s="413">
        <f>'Table 3 Levels 1&amp;2'!AO24</f>
        <v>173934797.39669806</v>
      </c>
      <c r="D23" s="477">
        <f>'[13]Audit Adjs_09-10 BL_TOTAL'!E24</f>
        <v>0</v>
      </c>
      <c r="E23" s="477">
        <f>'[14]Audit Adjs - TOTAL'!F25</f>
        <v>-126530.77690165825</v>
      </c>
      <c r="F23" s="477">
        <f t="shared" si="4"/>
        <v>-126530.77690165825</v>
      </c>
      <c r="G23" s="413">
        <f t="shared" si="2"/>
        <v>0</v>
      </c>
      <c r="H23" s="477">
        <f t="shared" si="5"/>
        <v>-126530.77690165825</v>
      </c>
      <c r="I23" s="1035">
        <f t="shared" si="6"/>
        <v>173808267</v>
      </c>
      <c r="J23" s="1030">
        <f>-'[17]FY2009-10 MFP SFSF Funds'!$D21</f>
        <v>-5316885</v>
      </c>
      <c r="K23" s="1035">
        <f t="shared" si="7"/>
        <v>168491382</v>
      </c>
      <c r="L23" s="413">
        <f>'Dec Midyear Adjustment'!O22+'Dec Midyear Adjustment'!O136</f>
        <v>2103954.7046966194</v>
      </c>
      <c r="M23" s="477">
        <f>'March Midyear Adjustment'!M22+'March Midyear Adjustment'!M135</f>
        <v>307982.6439824409</v>
      </c>
      <c r="N23" s="477">
        <f>-'Table 5B2_RSD_LA'!S17</f>
        <v>-10785258.935133548</v>
      </c>
      <c r="O23" s="1035">
        <f t="shared" si="8"/>
        <v>160118060.41354552</v>
      </c>
      <c r="P23" s="1029">
        <f>'[26]MFP'!$BY$74</f>
        <v>106366663</v>
      </c>
      <c r="Q23" s="413">
        <f t="shared" si="9"/>
        <v>53751397.41354552</v>
      </c>
      <c r="R23" s="413">
        <f t="shared" si="10"/>
        <v>13437849</v>
      </c>
      <c r="S23" s="413">
        <f>'Table 4A Stipends'!G20</f>
        <v>60000</v>
      </c>
      <c r="T23" s="477">
        <f t="shared" si="3"/>
        <v>160178060.41354552</v>
      </c>
    </row>
    <row r="24" spans="1:20" ht="12.75">
      <c r="A24" s="124">
        <v>18</v>
      </c>
      <c r="B24" s="404" t="s">
        <v>319</v>
      </c>
      <c r="C24" s="413">
        <f>'Table 3 Levels 1&amp;2'!AO25</f>
        <v>8878681.314396</v>
      </c>
      <c r="D24" s="477">
        <f>'[13]Audit Adjs_09-10 BL_TOTAL'!E25</f>
        <v>0</v>
      </c>
      <c r="E24" s="477">
        <f>'[14]Audit Adjs - TOTAL'!F26</f>
        <v>42483.78517094687</v>
      </c>
      <c r="F24" s="477">
        <f t="shared" si="4"/>
        <v>42483.78517094687</v>
      </c>
      <c r="G24" s="413">
        <f t="shared" si="2"/>
        <v>42483.78517094687</v>
      </c>
      <c r="H24" s="477">
        <f t="shared" si="5"/>
        <v>0</v>
      </c>
      <c r="I24" s="1035">
        <f t="shared" si="6"/>
        <v>8921165</v>
      </c>
      <c r="J24" s="1030">
        <f>-'[17]FY2009-10 MFP SFSF Funds'!$D22</f>
        <v>-271406</v>
      </c>
      <c r="K24" s="1035">
        <f t="shared" si="7"/>
        <v>8649759</v>
      </c>
      <c r="L24" s="413">
        <f>'Dec Midyear Adjustment'!O23</f>
        <v>0</v>
      </c>
      <c r="M24" s="477">
        <f>'March Midyear Adjustment'!M23</f>
        <v>0</v>
      </c>
      <c r="N24" s="477"/>
      <c r="O24" s="1035">
        <f t="shared" si="8"/>
        <v>8649759</v>
      </c>
      <c r="P24" s="413">
        <f>'[26]MFP'!BY23</f>
        <v>5796662</v>
      </c>
      <c r="Q24" s="413">
        <f t="shared" si="9"/>
        <v>2853097</v>
      </c>
      <c r="R24" s="413">
        <f t="shared" si="10"/>
        <v>713274</v>
      </c>
      <c r="S24" s="413">
        <f>'Table 4A Stipends'!G21</f>
        <v>10000</v>
      </c>
      <c r="T24" s="477">
        <f t="shared" si="3"/>
        <v>8659759</v>
      </c>
    </row>
    <row r="25" spans="1:20" ht="12.75">
      <c r="A25" s="124">
        <v>19</v>
      </c>
      <c r="B25" s="404" t="s">
        <v>320</v>
      </c>
      <c r="C25" s="413">
        <f>'Table 3 Levels 1&amp;2'!AO26</f>
        <v>13050517.78126</v>
      </c>
      <c r="D25" s="477">
        <f>'[13]Audit Adjs_09-10 BL_TOTAL'!E26</f>
        <v>0</v>
      </c>
      <c r="E25" s="477">
        <f>'[14]Audit Adjs - TOTAL'!F27</f>
        <v>-26846.999212626208</v>
      </c>
      <c r="F25" s="477">
        <f t="shared" si="4"/>
        <v>-26846.999212626208</v>
      </c>
      <c r="G25" s="413">
        <f t="shared" si="2"/>
        <v>0</v>
      </c>
      <c r="H25" s="477">
        <f t="shared" si="5"/>
        <v>-26846.999212626208</v>
      </c>
      <c r="I25" s="1035">
        <f t="shared" si="6"/>
        <v>13023671</v>
      </c>
      <c r="J25" s="1030">
        <f>-'[17]FY2009-10 MFP SFSF Funds'!$D23</f>
        <v>-398932</v>
      </c>
      <c r="K25" s="1035">
        <f t="shared" si="7"/>
        <v>12624739</v>
      </c>
      <c r="L25" s="413">
        <f>'Dec Midyear Adjustment'!O24</f>
        <v>0</v>
      </c>
      <c r="M25" s="477">
        <f>'March Midyear Adjustment'!M24</f>
        <v>0</v>
      </c>
      <c r="N25" s="477"/>
      <c r="O25" s="1035">
        <f t="shared" si="8"/>
        <v>12624739</v>
      </c>
      <c r="P25" s="413">
        <f>'[26]MFP'!BY24</f>
        <v>8460818</v>
      </c>
      <c r="Q25" s="413">
        <f t="shared" si="9"/>
        <v>4163921</v>
      </c>
      <c r="R25" s="413">
        <f t="shared" si="10"/>
        <v>1040980</v>
      </c>
      <c r="S25" s="413">
        <f>'Table 4A Stipends'!G22</f>
        <v>0</v>
      </c>
      <c r="T25" s="477">
        <f t="shared" si="3"/>
        <v>12624739</v>
      </c>
    </row>
    <row r="26" spans="1:20" ht="12.75">
      <c r="A26" s="125">
        <v>20</v>
      </c>
      <c r="B26" s="405" t="s">
        <v>321</v>
      </c>
      <c r="C26" s="422">
        <f>'Table 3 Levels 1&amp;2'!AO27</f>
        <v>34629437.929072</v>
      </c>
      <c r="D26" s="478">
        <f>'[13]Audit Adjs_09-10 BL_TOTAL'!E27</f>
        <v>0</v>
      </c>
      <c r="E26" s="478">
        <f>'[14]Audit Adjs - TOTAL'!F28</f>
        <v>0</v>
      </c>
      <c r="F26" s="478">
        <f t="shared" si="4"/>
        <v>0</v>
      </c>
      <c r="G26" s="422">
        <f t="shared" si="2"/>
        <v>0</v>
      </c>
      <c r="H26" s="478">
        <f t="shared" si="5"/>
        <v>0</v>
      </c>
      <c r="I26" s="1036">
        <f t="shared" si="6"/>
        <v>34629438</v>
      </c>
      <c r="J26" s="1037">
        <f>-'[17]FY2009-10 MFP SFSF Funds'!$D24</f>
        <v>-1058562</v>
      </c>
      <c r="K26" s="1036">
        <f t="shared" si="7"/>
        <v>33570876</v>
      </c>
      <c r="L26" s="422">
        <f>'Dec Midyear Adjustment'!O25</f>
        <v>549964.6044849973</v>
      </c>
      <c r="M26" s="478">
        <f>'March Midyear Adjustment'!M25</f>
        <v>0</v>
      </c>
      <c r="N26" s="478"/>
      <c r="O26" s="1036">
        <f t="shared" si="8"/>
        <v>34120840.604485</v>
      </c>
      <c r="P26" s="422">
        <f>'[26]MFP'!BY25</f>
        <v>22733902</v>
      </c>
      <c r="Q26" s="422">
        <f t="shared" si="9"/>
        <v>11386938.604484998</v>
      </c>
      <c r="R26" s="422">
        <f t="shared" si="10"/>
        <v>2846735</v>
      </c>
      <c r="S26" s="422">
        <f>'Table 4A Stipends'!G23</f>
        <v>0</v>
      </c>
      <c r="T26" s="478">
        <f t="shared" si="3"/>
        <v>34120840.604485</v>
      </c>
    </row>
    <row r="27" spans="1:20" ht="12.75">
      <c r="A27" s="124">
        <v>21</v>
      </c>
      <c r="B27" s="404" t="s">
        <v>322</v>
      </c>
      <c r="C27" s="413">
        <f>'Table 3 Levels 1&amp;2'!AO28</f>
        <v>18435960.573328</v>
      </c>
      <c r="D27" s="477">
        <f>'[13]Audit Adjs_09-10 BL_TOTAL'!E28</f>
        <v>0</v>
      </c>
      <c r="E27" s="477">
        <f>'[14]Audit Adjs - TOTAL'!F29</f>
        <v>0</v>
      </c>
      <c r="F27" s="477">
        <f t="shared" si="4"/>
        <v>0</v>
      </c>
      <c r="G27" s="413">
        <f t="shared" si="2"/>
        <v>0</v>
      </c>
      <c r="H27" s="477">
        <f t="shared" si="5"/>
        <v>0</v>
      </c>
      <c r="I27" s="1035">
        <f t="shared" si="6"/>
        <v>18435961</v>
      </c>
      <c r="J27" s="1030">
        <f>-'[17]FY2009-10 MFP SFSF Funds'!$D25</f>
        <v>-563555</v>
      </c>
      <c r="K27" s="1035">
        <f t="shared" si="7"/>
        <v>17872406</v>
      </c>
      <c r="L27" s="413">
        <f>'Dec Midyear Adjustment'!O26</f>
        <v>0</v>
      </c>
      <c r="M27" s="477">
        <f>'March Midyear Adjustment'!M26</f>
        <v>0</v>
      </c>
      <c r="N27" s="477"/>
      <c r="O27" s="1035">
        <f t="shared" si="8"/>
        <v>17872406</v>
      </c>
      <c r="P27" s="413">
        <f>'[26]MFP'!BY26</f>
        <v>11977555</v>
      </c>
      <c r="Q27" s="413">
        <f t="shared" si="9"/>
        <v>5894851</v>
      </c>
      <c r="R27" s="413">
        <f t="shared" si="10"/>
        <v>1473713</v>
      </c>
      <c r="S27" s="413">
        <f>'Table 4A Stipends'!G24</f>
        <v>0</v>
      </c>
      <c r="T27" s="477">
        <f t="shared" si="3"/>
        <v>17872406</v>
      </c>
    </row>
    <row r="28" spans="1:20" ht="12.75">
      <c r="A28" s="124">
        <v>22</v>
      </c>
      <c r="B28" s="404" t="s">
        <v>323</v>
      </c>
      <c r="C28" s="413">
        <f>'Table 3 Levels 1&amp;2'!AO29</f>
        <v>21198704.176512003</v>
      </c>
      <c r="D28" s="477">
        <f>'[13]Audit Adjs_09-10 BL_TOTAL'!E29</f>
        <v>-95637</v>
      </c>
      <c r="E28" s="477">
        <f>'[14]Audit Adjs - TOTAL'!F30</f>
        <v>-9970.1828344455</v>
      </c>
      <c r="F28" s="477">
        <f t="shared" si="4"/>
        <v>-105607.1828344455</v>
      </c>
      <c r="G28" s="413">
        <f t="shared" si="2"/>
        <v>0</v>
      </c>
      <c r="H28" s="477">
        <f t="shared" si="5"/>
        <v>-105607.1828344455</v>
      </c>
      <c r="I28" s="1035">
        <f t="shared" si="6"/>
        <v>21093097</v>
      </c>
      <c r="J28" s="1030">
        <f>-'[17]FY2009-10 MFP SFSF Funds'!$D26</f>
        <v>-648008</v>
      </c>
      <c r="K28" s="1035">
        <f t="shared" si="7"/>
        <v>20445089</v>
      </c>
      <c r="L28" s="413">
        <f>'Dec Midyear Adjustment'!O27</f>
        <v>0</v>
      </c>
      <c r="M28" s="477">
        <f>'March Midyear Adjustment'!M27</f>
        <v>0</v>
      </c>
      <c r="N28" s="477"/>
      <c r="O28" s="1035">
        <f t="shared" si="8"/>
        <v>20445089</v>
      </c>
      <c r="P28" s="413">
        <f>'[26]MFP'!BY27</f>
        <v>13702059</v>
      </c>
      <c r="Q28" s="413">
        <f t="shared" si="9"/>
        <v>6743030</v>
      </c>
      <c r="R28" s="413">
        <f t="shared" si="10"/>
        <v>1685758</v>
      </c>
      <c r="S28" s="413">
        <f>'Table 4A Stipends'!G25</f>
        <v>0</v>
      </c>
      <c r="T28" s="477">
        <f t="shared" si="3"/>
        <v>20445089</v>
      </c>
    </row>
    <row r="29" spans="1:20" ht="12.75">
      <c r="A29" s="124">
        <v>23</v>
      </c>
      <c r="B29" s="404" t="s">
        <v>324</v>
      </c>
      <c r="C29" s="413">
        <f>'Table 3 Levels 1&amp;2'!AO30</f>
        <v>73906532.79598</v>
      </c>
      <c r="D29" s="477">
        <f>'[13]Audit Adjs_09-10 BL_TOTAL'!E30</f>
        <v>0</v>
      </c>
      <c r="E29" s="477">
        <f>'[14]Audit Adjs - TOTAL'!F31</f>
        <v>-50986.08624323217</v>
      </c>
      <c r="F29" s="477">
        <f t="shared" si="4"/>
        <v>-50986.08624323217</v>
      </c>
      <c r="G29" s="413">
        <f t="shared" si="2"/>
        <v>0</v>
      </c>
      <c r="H29" s="477">
        <f t="shared" si="5"/>
        <v>-50986.08624323217</v>
      </c>
      <c r="I29" s="1035">
        <f t="shared" si="6"/>
        <v>73855547</v>
      </c>
      <c r="J29" s="1030">
        <f>-'[17]FY2009-10 MFP SFSF Funds'!$D27</f>
        <v>-2259195</v>
      </c>
      <c r="K29" s="1035">
        <f t="shared" si="7"/>
        <v>71596352</v>
      </c>
      <c r="L29" s="413">
        <f>'Dec Midyear Adjustment'!O28</f>
        <v>0</v>
      </c>
      <c r="M29" s="477">
        <f>'March Midyear Adjustment'!M28</f>
        <v>0</v>
      </c>
      <c r="N29" s="477"/>
      <c r="O29" s="1035">
        <f t="shared" si="8"/>
        <v>71596352</v>
      </c>
      <c r="P29" s="413">
        <f>'[26]MFP'!BY28</f>
        <v>47981922</v>
      </c>
      <c r="Q29" s="413">
        <f t="shared" si="9"/>
        <v>23614430</v>
      </c>
      <c r="R29" s="413">
        <f t="shared" si="10"/>
        <v>5903608</v>
      </c>
      <c r="S29" s="413">
        <f>'Table 4A Stipends'!G26</f>
        <v>32000</v>
      </c>
      <c r="T29" s="477">
        <f t="shared" si="3"/>
        <v>71628352</v>
      </c>
    </row>
    <row r="30" spans="1:20" ht="12.75">
      <c r="A30" s="124">
        <v>24</v>
      </c>
      <c r="B30" s="404" t="s">
        <v>325</v>
      </c>
      <c r="C30" s="413">
        <f>'Table 3 Levels 1&amp;2'!AO31</f>
        <v>16034415.13</v>
      </c>
      <c r="D30" s="477">
        <f>'[13]Audit Adjs_09-10 BL_TOTAL'!E31</f>
        <v>0</v>
      </c>
      <c r="E30" s="477">
        <f>'[14]Audit Adjs - TOTAL'!F32</f>
        <v>-14578.230048499474</v>
      </c>
      <c r="F30" s="477">
        <f t="shared" si="4"/>
        <v>-14578.230048499474</v>
      </c>
      <c r="G30" s="413">
        <f t="shared" si="2"/>
        <v>0</v>
      </c>
      <c r="H30" s="477">
        <f t="shared" si="5"/>
        <v>-14578.230048499474</v>
      </c>
      <c r="I30" s="1035">
        <f t="shared" si="6"/>
        <v>16019837</v>
      </c>
      <c r="J30" s="1030">
        <f>-'[17]FY2009-10 MFP SFSF Funds'!$D28</f>
        <v>-490144</v>
      </c>
      <c r="K30" s="1035">
        <f t="shared" si="7"/>
        <v>15529693</v>
      </c>
      <c r="L30" s="413">
        <f>'Dec Midyear Adjustment'!O29</f>
        <v>0</v>
      </c>
      <c r="M30" s="477">
        <f>'March Midyear Adjustment'!M29</f>
        <v>0</v>
      </c>
      <c r="N30" s="477"/>
      <c r="O30" s="1035">
        <f t="shared" si="8"/>
        <v>15529693</v>
      </c>
      <c r="P30" s="413">
        <f>'[26]MFP'!BY29</f>
        <v>10407588</v>
      </c>
      <c r="Q30" s="413">
        <f t="shared" si="9"/>
        <v>5122105</v>
      </c>
      <c r="R30" s="413">
        <f t="shared" si="10"/>
        <v>1280526</v>
      </c>
      <c r="S30" s="413">
        <f>'Table 4A Stipends'!G27</f>
        <v>0</v>
      </c>
      <c r="T30" s="477">
        <f t="shared" si="3"/>
        <v>15529693</v>
      </c>
    </row>
    <row r="31" spans="1:20" ht="12.75">
      <c r="A31" s="125">
        <v>25</v>
      </c>
      <c r="B31" s="405" t="s">
        <v>326</v>
      </c>
      <c r="C31" s="422">
        <f>'Table 3 Levels 1&amp;2'!AO32</f>
        <v>10134156.9553344</v>
      </c>
      <c r="D31" s="478">
        <f>'[13]Audit Adjs_09-10 BL_TOTAL'!E32</f>
        <v>-5662</v>
      </c>
      <c r="E31" s="478">
        <f>'[14]Audit Adjs - TOTAL'!F33</f>
        <v>-3670.6438193489225</v>
      </c>
      <c r="F31" s="478">
        <f t="shared" si="4"/>
        <v>-9332.643819348923</v>
      </c>
      <c r="G31" s="422">
        <f t="shared" si="2"/>
        <v>0</v>
      </c>
      <c r="H31" s="478">
        <f t="shared" si="5"/>
        <v>-9332.643819348923</v>
      </c>
      <c r="I31" s="1036">
        <f t="shared" si="6"/>
        <v>10124824</v>
      </c>
      <c r="J31" s="1037">
        <f>-'[17]FY2009-10 MFP SFSF Funds'!$D29</f>
        <v>-309784</v>
      </c>
      <c r="K31" s="1036">
        <f t="shared" si="7"/>
        <v>9815040</v>
      </c>
      <c r="L31" s="422">
        <f>'Dec Midyear Adjustment'!O30</f>
        <v>143320.65037197375</v>
      </c>
      <c r="M31" s="478">
        <f>'March Midyear Adjustment'!M30</f>
        <v>0</v>
      </c>
      <c r="N31" s="478"/>
      <c r="O31" s="1036">
        <f t="shared" si="8"/>
        <v>9958360.650371974</v>
      </c>
      <c r="P31" s="422">
        <f>'[26]MFP'!BY30</f>
        <v>6639202</v>
      </c>
      <c r="Q31" s="422">
        <f t="shared" si="9"/>
        <v>3319158.6503719743</v>
      </c>
      <c r="R31" s="422">
        <f t="shared" si="10"/>
        <v>829790</v>
      </c>
      <c r="S31" s="422">
        <f>'Table 4A Stipends'!G28</f>
        <v>0</v>
      </c>
      <c r="T31" s="478">
        <f t="shared" si="3"/>
        <v>9958360.650371974</v>
      </c>
    </row>
    <row r="32" spans="1:20" ht="12.75">
      <c r="A32" s="124">
        <v>26</v>
      </c>
      <c r="B32" s="404" t="s">
        <v>327</v>
      </c>
      <c r="C32" s="413">
        <f>'Table 3 Levels 1&amp;2'!AO33</f>
        <v>154872855.7</v>
      </c>
      <c r="D32" s="477">
        <f>'[13]Audit Adjs_09-10 BL_TOTAL'!E33</f>
        <v>-13740</v>
      </c>
      <c r="E32" s="477">
        <f>'[14]Audit Adjs - TOTAL'!F34</f>
        <v>-470244.1179142887</v>
      </c>
      <c r="F32" s="477">
        <f t="shared" si="4"/>
        <v>-483984.1179142887</v>
      </c>
      <c r="G32" s="413">
        <f t="shared" si="2"/>
        <v>0</v>
      </c>
      <c r="H32" s="477">
        <f t="shared" si="5"/>
        <v>-483984.1179142887</v>
      </c>
      <c r="I32" s="1035">
        <f t="shared" si="6"/>
        <v>154388872</v>
      </c>
      <c r="J32" s="1030">
        <f>-'[17]FY2009-10 MFP SFSF Funds'!$D30</f>
        <v>-4734194</v>
      </c>
      <c r="K32" s="1035">
        <f t="shared" si="7"/>
        <v>149654678</v>
      </c>
      <c r="L32" s="413">
        <f>'Dec Midyear Adjustment'!O31</f>
        <v>3724508.7336324477</v>
      </c>
      <c r="M32" s="477">
        <f>'March Midyear Adjustment'!M31</f>
        <v>0</v>
      </c>
      <c r="N32" s="477"/>
      <c r="O32" s="1035">
        <f t="shared" si="8"/>
        <v>153379186.73363245</v>
      </c>
      <c r="P32" s="413">
        <f>'[26]MFP'!BY31</f>
        <v>101892024</v>
      </c>
      <c r="Q32" s="413">
        <f t="shared" si="9"/>
        <v>51487162.733632445</v>
      </c>
      <c r="R32" s="413">
        <f t="shared" si="10"/>
        <v>12871791</v>
      </c>
      <c r="S32" s="413">
        <f>'Table 4A Stipends'!G29</f>
        <v>90000</v>
      </c>
      <c r="T32" s="477">
        <f t="shared" si="3"/>
        <v>153469186.73363245</v>
      </c>
    </row>
    <row r="33" spans="1:20" ht="12.75">
      <c r="A33" s="124">
        <v>27</v>
      </c>
      <c r="B33" s="404" t="s">
        <v>328</v>
      </c>
      <c r="C33" s="413">
        <f>'Table 3 Levels 1&amp;2'!AO34</f>
        <v>35441439.816</v>
      </c>
      <c r="D33" s="477">
        <f>'[13]Audit Adjs_09-10 BL_TOTAL'!E34</f>
        <v>0</v>
      </c>
      <c r="E33" s="477">
        <f>'[14]Audit Adjs - TOTAL'!F35</f>
        <v>-23850.164003820148</v>
      </c>
      <c r="F33" s="477">
        <f t="shared" si="4"/>
        <v>-23850.164003820148</v>
      </c>
      <c r="G33" s="413">
        <f t="shared" si="2"/>
        <v>0</v>
      </c>
      <c r="H33" s="477">
        <f t="shared" si="5"/>
        <v>-23850.164003820148</v>
      </c>
      <c r="I33" s="1035">
        <f t="shared" si="6"/>
        <v>35417590</v>
      </c>
      <c r="J33" s="1030">
        <f>-'[17]FY2009-10 MFP SFSF Funds'!$D31</f>
        <v>-1083383</v>
      </c>
      <c r="K33" s="1035">
        <f t="shared" si="7"/>
        <v>34334207</v>
      </c>
      <c r="L33" s="413">
        <f>'Dec Midyear Adjustment'!O32</f>
        <v>438568.74951649935</v>
      </c>
      <c r="M33" s="477">
        <f>'March Midyear Adjustment'!M32</f>
        <v>0</v>
      </c>
      <c r="N33" s="477"/>
      <c r="O33" s="1035">
        <f t="shared" si="8"/>
        <v>34772775.7495165</v>
      </c>
      <c r="P33" s="413">
        <f>'[26]MFP'!BY32</f>
        <v>23197805</v>
      </c>
      <c r="Q33" s="413">
        <f t="shared" si="9"/>
        <v>11574970.749516502</v>
      </c>
      <c r="R33" s="413">
        <f t="shared" si="10"/>
        <v>2893743</v>
      </c>
      <c r="S33" s="413">
        <f>'Table 4A Stipends'!G30</f>
        <v>0</v>
      </c>
      <c r="T33" s="477">
        <f t="shared" si="3"/>
        <v>34772775.7495165</v>
      </c>
    </row>
    <row r="34" spans="1:20" ht="12.75">
      <c r="A34" s="124">
        <v>28</v>
      </c>
      <c r="B34" s="404" t="s">
        <v>329</v>
      </c>
      <c r="C34" s="413">
        <f>'Table 3 Levels 1&amp;2'!AO35</f>
        <v>114950613.2000764</v>
      </c>
      <c r="D34" s="477">
        <f>'[13]Audit Adjs_09-10 BL_TOTAL'!E35</f>
        <v>-3231</v>
      </c>
      <c r="E34" s="477">
        <f>'[14]Audit Adjs - TOTAL'!F36</f>
        <v>-355946.4630278982</v>
      </c>
      <c r="F34" s="477">
        <f t="shared" si="4"/>
        <v>-359177.4630278982</v>
      </c>
      <c r="G34" s="413">
        <f t="shared" si="2"/>
        <v>0</v>
      </c>
      <c r="H34" s="477">
        <f t="shared" si="5"/>
        <v>-359177.4630278982</v>
      </c>
      <c r="I34" s="1035">
        <f t="shared" si="6"/>
        <v>114591436</v>
      </c>
      <c r="J34" s="1030">
        <f>-'[17]FY2009-10 MFP SFSF Funds'!$D32</f>
        <v>-3513841</v>
      </c>
      <c r="K34" s="1035">
        <f t="shared" si="7"/>
        <v>111077595</v>
      </c>
      <c r="L34" s="413">
        <f>'Dec Midyear Adjustment'!O33</f>
        <v>2279496.5740343565</v>
      </c>
      <c r="M34" s="477">
        <f>'March Midyear Adjustment'!M33</f>
        <v>0</v>
      </c>
      <c r="N34" s="477"/>
      <c r="O34" s="1035">
        <f t="shared" si="8"/>
        <v>113357091.57403436</v>
      </c>
      <c r="P34" s="413">
        <f>'[26]MFP'!BY33</f>
        <v>75419084</v>
      </c>
      <c r="Q34" s="413">
        <f t="shared" si="9"/>
        <v>37938007.57403436</v>
      </c>
      <c r="R34" s="413">
        <f t="shared" si="10"/>
        <v>9484502</v>
      </c>
      <c r="S34" s="413">
        <f>'Table 4A Stipends'!G31</f>
        <v>144000</v>
      </c>
      <c r="T34" s="477">
        <f t="shared" si="3"/>
        <v>113501091.57403436</v>
      </c>
    </row>
    <row r="35" spans="1:20" ht="12.75">
      <c r="A35" s="124">
        <v>29</v>
      </c>
      <c r="B35" s="404" t="s">
        <v>330</v>
      </c>
      <c r="C35" s="413">
        <f>'Table 3 Levels 1&amp;2'!AO36</f>
        <v>69727638.55854</v>
      </c>
      <c r="D35" s="477">
        <f>'[13]Audit Adjs_09-10 BL_TOTAL'!E36</f>
        <v>0</v>
      </c>
      <c r="E35" s="477">
        <f>'[14]Audit Adjs - TOTAL'!F37</f>
        <v>760.4767276491511</v>
      </c>
      <c r="F35" s="477">
        <f t="shared" si="4"/>
        <v>760.4767276491511</v>
      </c>
      <c r="G35" s="413">
        <f t="shared" si="2"/>
        <v>760.4767276491511</v>
      </c>
      <c r="H35" s="477">
        <f t="shared" si="5"/>
        <v>0</v>
      </c>
      <c r="I35" s="1035">
        <f t="shared" si="6"/>
        <v>69728399</v>
      </c>
      <c r="J35" s="1030">
        <f>-'[17]FY2009-10 MFP SFSF Funds'!$D33</f>
        <v>-2131453</v>
      </c>
      <c r="K35" s="1035">
        <f t="shared" si="7"/>
        <v>67596946</v>
      </c>
      <c r="L35" s="413">
        <f>'Dec Midyear Adjustment'!O34</f>
        <v>412438.9311553775</v>
      </c>
      <c r="M35" s="477">
        <f>'March Midyear Adjustment'!M34</f>
        <v>0</v>
      </c>
      <c r="N35" s="477"/>
      <c r="O35" s="1035">
        <f t="shared" si="8"/>
        <v>68009384.93115538</v>
      </c>
      <c r="P35" s="413">
        <f>'[26]MFP'!BY34</f>
        <v>45478218</v>
      </c>
      <c r="Q35" s="413">
        <f t="shared" si="9"/>
        <v>22531166.931155384</v>
      </c>
      <c r="R35" s="413">
        <f t="shared" si="10"/>
        <v>5632792</v>
      </c>
      <c r="S35" s="413">
        <f>'Table 4A Stipends'!G32</f>
        <v>98000</v>
      </c>
      <c r="T35" s="477">
        <f t="shared" si="3"/>
        <v>68107384.93115538</v>
      </c>
    </row>
    <row r="36" spans="1:20" ht="12.75">
      <c r="A36" s="125">
        <v>30</v>
      </c>
      <c r="B36" s="405" t="s">
        <v>331</v>
      </c>
      <c r="C36" s="422">
        <f>'Table 3 Levels 1&amp;2'!AO37</f>
        <v>15082078.9189</v>
      </c>
      <c r="D36" s="478">
        <f>'[13]Audit Adjs_09-10 BL_TOTAL'!E37</f>
        <v>0</v>
      </c>
      <c r="E36" s="478">
        <f>'[14]Audit Adjs - TOTAL'!F38</f>
        <v>47801.22942399979</v>
      </c>
      <c r="F36" s="478">
        <f t="shared" si="4"/>
        <v>47801.22942399979</v>
      </c>
      <c r="G36" s="422">
        <f t="shared" si="2"/>
        <v>47801.22942399979</v>
      </c>
      <c r="H36" s="478">
        <f t="shared" si="5"/>
        <v>0</v>
      </c>
      <c r="I36" s="1036">
        <f t="shared" si="6"/>
        <v>15129880</v>
      </c>
      <c r="J36" s="1037">
        <f>-'[17]FY2009-10 MFP SFSF Funds'!$D34</f>
        <v>-461033</v>
      </c>
      <c r="K36" s="1036">
        <f t="shared" si="7"/>
        <v>14668847</v>
      </c>
      <c r="L36" s="422">
        <f>'Dec Midyear Adjustment'!O35</f>
        <v>0</v>
      </c>
      <c r="M36" s="478">
        <f>'March Midyear Adjustment'!M35</f>
        <v>0</v>
      </c>
      <c r="N36" s="478"/>
      <c r="O36" s="1036">
        <f t="shared" si="8"/>
        <v>14668847</v>
      </c>
      <c r="P36" s="422">
        <f>'[26]MFP'!BY35</f>
        <v>9830458</v>
      </c>
      <c r="Q36" s="422">
        <f t="shared" si="9"/>
        <v>4838389</v>
      </c>
      <c r="R36" s="422">
        <f t="shared" si="10"/>
        <v>1209597</v>
      </c>
      <c r="S36" s="422">
        <f>'Table 4A Stipends'!G33</f>
        <v>0</v>
      </c>
      <c r="T36" s="478">
        <f t="shared" si="3"/>
        <v>14668847</v>
      </c>
    </row>
    <row r="37" spans="1:20" ht="12.75">
      <c r="A37" s="124">
        <v>31</v>
      </c>
      <c r="B37" s="404" t="s">
        <v>332</v>
      </c>
      <c r="C37" s="413">
        <f>'Table 3 Levels 1&amp;2'!AO38</f>
        <v>31584650.3175816</v>
      </c>
      <c r="D37" s="477">
        <f>'[13]Audit Adjs_09-10 BL_TOTAL'!E38</f>
        <v>0</v>
      </c>
      <c r="E37" s="477">
        <f>'[14]Audit Adjs - TOTAL'!F39</f>
        <v>-28140.378011243884</v>
      </c>
      <c r="F37" s="477">
        <f t="shared" si="4"/>
        <v>-28140.378011243884</v>
      </c>
      <c r="G37" s="413">
        <f t="shared" si="2"/>
        <v>0</v>
      </c>
      <c r="H37" s="477">
        <f t="shared" si="5"/>
        <v>-28140.378011243884</v>
      </c>
      <c r="I37" s="1035">
        <f t="shared" si="6"/>
        <v>31556510</v>
      </c>
      <c r="J37" s="1030">
        <f>-'[17]FY2009-10 MFP SFSF Funds'!$D35</f>
        <v>-965488</v>
      </c>
      <c r="K37" s="1035">
        <f t="shared" si="7"/>
        <v>30591022</v>
      </c>
      <c r="L37" s="413">
        <f>'Dec Midyear Adjustment'!O36</f>
        <v>0</v>
      </c>
      <c r="M37" s="477">
        <f>'March Midyear Adjustment'!M36</f>
        <v>0</v>
      </c>
      <c r="N37" s="477"/>
      <c r="O37" s="1035">
        <f t="shared" si="8"/>
        <v>30591022</v>
      </c>
      <c r="P37" s="413">
        <f>'[26]MFP'!BY36</f>
        <v>20501292</v>
      </c>
      <c r="Q37" s="413">
        <f t="shared" si="9"/>
        <v>10089730</v>
      </c>
      <c r="R37" s="413">
        <f t="shared" si="10"/>
        <v>2522433</v>
      </c>
      <c r="S37" s="413">
        <f>'Table 4A Stipends'!G34</f>
        <v>0</v>
      </c>
      <c r="T37" s="477">
        <f t="shared" si="3"/>
        <v>30591022</v>
      </c>
    </row>
    <row r="38" spans="1:20" ht="12.75">
      <c r="A38" s="124">
        <v>32</v>
      </c>
      <c r="B38" s="404" t="s">
        <v>333</v>
      </c>
      <c r="C38" s="413">
        <f>'Table 3 Levels 1&amp;2'!AO39</f>
        <v>141285077.46254</v>
      </c>
      <c r="D38" s="477">
        <f>'[13]Audit Adjs_09-10 BL_TOTAL'!E39</f>
        <v>0</v>
      </c>
      <c r="E38" s="477">
        <f>'[14]Audit Adjs - TOTAL'!F40</f>
        <v>-383137.1904582047</v>
      </c>
      <c r="F38" s="477">
        <f t="shared" si="4"/>
        <v>-383137.1904582047</v>
      </c>
      <c r="G38" s="413">
        <f t="shared" si="2"/>
        <v>0</v>
      </c>
      <c r="H38" s="477">
        <f t="shared" si="5"/>
        <v>-383137.1904582047</v>
      </c>
      <c r="I38" s="1035">
        <f t="shared" si="6"/>
        <v>140901940</v>
      </c>
      <c r="J38" s="1030">
        <f>-'[17]FY2009-10 MFP SFSF Funds'!$D36</f>
        <v>-4318840</v>
      </c>
      <c r="K38" s="1035">
        <f t="shared" si="7"/>
        <v>136583100</v>
      </c>
      <c r="L38" s="413">
        <f>'Dec Midyear Adjustment'!O37</f>
        <v>2049346.6999825547</v>
      </c>
      <c r="M38" s="477">
        <f>'March Midyear Adjustment'!M37</f>
        <v>0</v>
      </c>
      <c r="N38" s="477"/>
      <c r="O38" s="1035">
        <f t="shared" si="8"/>
        <v>138632446.69998255</v>
      </c>
      <c r="P38" s="413">
        <f>'[26]MFP'!BY37</f>
        <v>92413561</v>
      </c>
      <c r="Q38" s="413">
        <f t="shared" si="9"/>
        <v>46218885.69998255</v>
      </c>
      <c r="R38" s="413">
        <f t="shared" si="10"/>
        <v>11554721</v>
      </c>
      <c r="S38" s="413">
        <f>'Table 4A Stipends'!G35</f>
        <v>0</v>
      </c>
      <c r="T38" s="477">
        <f t="shared" si="3"/>
        <v>138632446.69998255</v>
      </c>
    </row>
    <row r="39" spans="1:20" ht="12.75">
      <c r="A39" s="124">
        <v>33</v>
      </c>
      <c r="B39" s="404" t="s">
        <v>334</v>
      </c>
      <c r="C39" s="413">
        <f>'Table 3 Levels 1&amp;2'!AO40</f>
        <v>14304333.361544</v>
      </c>
      <c r="D39" s="477">
        <f>'[13]Audit Adjs_09-10 BL_TOTAL'!E40</f>
        <v>0</v>
      </c>
      <c r="E39" s="477">
        <f>'[14]Audit Adjs - TOTAL'!F41</f>
        <v>-891.2704729181423</v>
      </c>
      <c r="F39" s="477">
        <f t="shared" si="4"/>
        <v>-891.2704729181423</v>
      </c>
      <c r="G39" s="413">
        <f t="shared" si="2"/>
        <v>0</v>
      </c>
      <c r="H39" s="477">
        <f t="shared" si="5"/>
        <v>-891.2704729181423</v>
      </c>
      <c r="I39" s="1035">
        <f t="shared" si="6"/>
        <v>14303442</v>
      </c>
      <c r="J39" s="1030">
        <f>-'[17]FY2009-10 MFP SFSF Funds'!$D37</f>
        <v>-437259</v>
      </c>
      <c r="K39" s="1035">
        <f t="shared" si="7"/>
        <v>13866183</v>
      </c>
      <c r="L39" s="413">
        <f>'Dec Midyear Adjustment'!O38</f>
        <v>0</v>
      </c>
      <c r="M39" s="477">
        <f>'March Midyear Adjustment'!M38</f>
        <v>0</v>
      </c>
      <c r="N39" s="477"/>
      <c r="O39" s="1035">
        <f t="shared" si="8"/>
        <v>13866183</v>
      </c>
      <c r="P39" s="413">
        <f>'[26]MFP'!BY38</f>
        <v>9292707</v>
      </c>
      <c r="Q39" s="413">
        <f t="shared" si="9"/>
        <v>4573476</v>
      </c>
      <c r="R39" s="413">
        <f t="shared" si="10"/>
        <v>1143369</v>
      </c>
      <c r="S39" s="413">
        <f>'Table 4A Stipends'!G36</f>
        <v>4000</v>
      </c>
      <c r="T39" s="477">
        <f aca="true" t="shared" si="11" ref="T39:T70">O39+S39</f>
        <v>13870183</v>
      </c>
    </row>
    <row r="40" spans="1:20" ht="12.75">
      <c r="A40" s="124">
        <v>34</v>
      </c>
      <c r="B40" s="404" t="s">
        <v>335</v>
      </c>
      <c r="C40" s="413">
        <f>'Table 3 Levels 1&amp;2'!AO41</f>
        <v>30735216.754200004</v>
      </c>
      <c r="D40" s="477">
        <f>'[13]Audit Adjs_09-10 BL_TOTAL'!E41</f>
        <v>0</v>
      </c>
      <c r="E40" s="477">
        <f>'[14]Audit Adjs - TOTAL'!F42</f>
        <v>-42534.26946398511</v>
      </c>
      <c r="F40" s="477">
        <f t="shared" si="4"/>
        <v>-42534.26946398511</v>
      </c>
      <c r="G40" s="413">
        <f t="shared" si="2"/>
        <v>0</v>
      </c>
      <c r="H40" s="477">
        <f t="shared" si="5"/>
        <v>-42534.26946398511</v>
      </c>
      <c r="I40" s="1035">
        <f t="shared" si="6"/>
        <v>30692682</v>
      </c>
      <c r="J40" s="1030">
        <f>-'[17]FY2009-10 MFP SFSF Funds'!$D38</f>
        <v>-939522</v>
      </c>
      <c r="K40" s="1035">
        <f t="shared" si="7"/>
        <v>29753160</v>
      </c>
      <c r="L40" s="413">
        <f>'Dec Midyear Adjustment'!O39</f>
        <v>0</v>
      </c>
      <c r="M40" s="477">
        <f>'March Midyear Adjustment'!M39</f>
        <v>0</v>
      </c>
      <c r="N40" s="477"/>
      <c r="O40" s="1035">
        <f t="shared" si="8"/>
        <v>29753160</v>
      </c>
      <c r="P40" s="413">
        <f>'[26]MFP'!BY39</f>
        <v>19939832</v>
      </c>
      <c r="Q40" s="413">
        <f t="shared" si="9"/>
        <v>9813328</v>
      </c>
      <c r="R40" s="413">
        <f t="shared" si="10"/>
        <v>2453332</v>
      </c>
      <c r="S40" s="413">
        <f>'Table 4A Stipends'!G37</f>
        <v>0</v>
      </c>
      <c r="T40" s="477">
        <f t="shared" si="11"/>
        <v>29753160</v>
      </c>
    </row>
    <row r="41" spans="1:20" ht="12.75">
      <c r="A41" s="125">
        <v>35</v>
      </c>
      <c r="B41" s="405" t="s">
        <v>336</v>
      </c>
      <c r="C41" s="422">
        <f>'Table 3 Levels 1&amp;2'!AO42</f>
        <v>35018775.69252</v>
      </c>
      <c r="D41" s="478">
        <f>'[13]Audit Adjs_09-10 BL_TOTAL'!E42</f>
        <v>0</v>
      </c>
      <c r="E41" s="478">
        <f>'[14]Audit Adjs - TOTAL'!F43</f>
        <v>-151681.78359800673</v>
      </c>
      <c r="F41" s="478">
        <f t="shared" si="4"/>
        <v>-151681.78359800673</v>
      </c>
      <c r="G41" s="422">
        <f t="shared" si="2"/>
        <v>0</v>
      </c>
      <c r="H41" s="478">
        <f t="shared" si="5"/>
        <v>-151681.78359800673</v>
      </c>
      <c r="I41" s="1036">
        <f t="shared" si="6"/>
        <v>34867094</v>
      </c>
      <c r="J41" s="1037">
        <f>-'[17]FY2009-10 MFP SFSF Funds'!$D39</f>
        <v>-1070463</v>
      </c>
      <c r="K41" s="1036">
        <f t="shared" si="7"/>
        <v>33796631</v>
      </c>
      <c r="L41" s="422">
        <f>'Dec Midyear Adjustment'!O40</f>
        <v>368213.7431573823</v>
      </c>
      <c r="M41" s="478">
        <f>'March Midyear Adjustment'!M40</f>
        <v>0</v>
      </c>
      <c r="N41" s="478"/>
      <c r="O41" s="1036">
        <f t="shared" si="8"/>
        <v>34164844.74315738</v>
      </c>
      <c r="P41" s="422">
        <f>'[26]MFP'!BY40</f>
        <v>22807834</v>
      </c>
      <c r="Q41" s="422">
        <f t="shared" si="9"/>
        <v>11357010.74315738</v>
      </c>
      <c r="R41" s="422">
        <f t="shared" si="10"/>
        <v>2839253</v>
      </c>
      <c r="S41" s="422">
        <f>'Table 4A Stipends'!G38</f>
        <v>0</v>
      </c>
      <c r="T41" s="478">
        <f t="shared" si="11"/>
        <v>34164844.74315738</v>
      </c>
    </row>
    <row r="42" spans="1:26" ht="12.75" customHeight="1">
      <c r="A42" s="124">
        <v>36</v>
      </c>
      <c r="B42" s="404" t="s">
        <v>337</v>
      </c>
      <c r="C42" s="413">
        <f>'Table 3 Levels 1&amp;2'!AO43</f>
        <v>124260378.57490218</v>
      </c>
      <c r="D42" s="477">
        <f>'[13]Audit Adjs_09-10 BL_TOTAL'!E43</f>
        <v>0</v>
      </c>
      <c r="E42" s="477">
        <f>'[14]Audit Adjs - TOTAL'!F44</f>
        <v>-444877.3053687571</v>
      </c>
      <c r="F42" s="477">
        <f t="shared" si="4"/>
        <v>-444877.3053687571</v>
      </c>
      <c r="G42" s="413">
        <f t="shared" si="2"/>
        <v>0</v>
      </c>
      <c r="H42" s="477">
        <f t="shared" si="5"/>
        <v>-444877.3053687571</v>
      </c>
      <c r="I42" s="1035">
        <f t="shared" si="6"/>
        <v>123815501</v>
      </c>
      <c r="J42" s="1030">
        <f>-'[17]FY2009-10 MFP SFSF Funds'!$D40</f>
        <v>-3776906</v>
      </c>
      <c r="K42" s="1035">
        <f t="shared" si="7"/>
        <v>120038595</v>
      </c>
      <c r="L42" s="413">
        <f>'Dec Midyear Adjustment'!O41+'Dec Midyear Adjustment'!O125</f>
        <v>8829962.5509723</v>
      </c>
      <c r="M42" s="477">
        <f>'March Midyear Adjustment'!M41+'March Midyear Adjustment'!M124</f>
        <v>613859.7135280841</v>
      </c>
      <c r="N42" s="477">
        <f>-'Table 5B1_RSD_Orleans'!X50</f>
        <v>-94052080.9322859</v>
      </c>
      <c r="O42" s="1035">
        <f t="shared" si="8"/>
        <v>35430336.332214475</v>
      </c>
      <c r="P42" s="1029">
        <f>'[26]MFP'!$BY$80</f>
        <v>23641441</v>
      </c>
      <c r="Q42" s="413">
        <f t="shared" si="9"/>
        <v>11788895.332214475</v>
      </c>
      <c r="R42" s="413">
        <f t="shared" si="10"/>
        <v>2947224</v>
      </c>
      <c r="S42" s="413">
        <f>'Table 4A Stipends'!G39</f>
        <v>90000</v>
      </c>
      <c r="T42" s="477">
        <f t="shared" si="11"/>
        <v>35520336.332214475</v>
      </c>
      <c r="U42" s="1304"/>
      <c r="V42" s="1305"/>
      <c r="W42" s="1305"/>
      <c r="X42" s="1305"/>
      <c r="Y42" s="1305"/>
      <c r="Z42" s="1305"/>
    </row>
    <row r="43" spans="1:26" ht="12.75">
      <c r="A43" s="124">
        <v>37</v>
      </c>
      <c r="B43" s="404" t="s">
        <v>338</v>
      </c>
      <c r="C43" s="413">
        <f>'Table 3 Levels 1&amp;2'!AO44</f>
        <v>113004512.95582439</v>
      </c>
      <c r="D43" s="477">
        <f>'[13]Audit Adjs_09-10 BL_TOTAL'!E44</f>
        <v>0</v>
      </c>
      <c r="E43" s="477">
        <f>'[14]Audit Adjs - TOTAL'!F45</f>
        <v>-207133.222493156</v>
      </c>
      <c r="F43" s="477">
        <f t="shared" si="4"/>
        <v>-207133.222493156</v>
      </c>
      <c r="G43" s="413">
        <f t="shared" si="2"/>
        <v>0</v>
      </c>
      <c r="H43" s="477">
        <f t="shared" si="5"/>
        <v>-207133.222493156</v>
      </c>
      <c r="I43" s="1035">
        <f t="shared" si="6"/>
        <v>112797380</v>
      </c>
      <c r="J43" s="1030">
        <f>-'[17]FY2009-10 MFP SFSF Funds'!$D41</f>
        <v>-3454352</v>
      </c>
      <c r="K43" s="1035">
        <f t="shared" si="7"/>
        <v>109343028</v>
      </c>
      <c r="L43" s="413">
        <f>'Dec Midyear Adjustment'!O42</f>
        <v>2090869.993734371</v>
      </c>
      <c r="M43" s="477">
        <f>'March Midyear Adjustment'!M42</f>
        <v>0</v>
      </c>
      <c r="N43" s="477"/>
      <c r="O43" s="1035">
        <f t="shared" si="8"/>
        <v>111433897.99373437</v>
      </c>
      <c r="P43" s="413">
        <f>'[26]MFP'!$BY$41</f>
        <v>74175256</v>
      </c>
      <c r="Q43" s="413">
        <f t="shared" si="9"/>
        <v>37258641.993734375</v>
      </c>
      <c r="R43" s="413">
        <f t="shared" si="10"/>
        <v>9314660</v>
      </c>
      <c r="S43" s="413">
        <f>'Table 4A Stipends'!G40</f>
        <v>0</v>
      </c>
      <c r="T43" s="477">
        <f t="shared" si="11"/>
        <v>111433897.99373437</v>
      </c>
      <c r="U43" s="1304"/>
      <c r="V43" s="1305"/>
      <c r="W43" s="1305"/>
      <c r="X43" s="1305"/>
      <c r="Y43" s="1305"/>
      <c r="Z43" s="1305"/>
    </row>
    <row r="44" spans="1:26" ht="12.75">
      <c r="A44" s="124">
        <v>38</v>
      </c>
      <c r="B44" s="404" t="s">
        <v>339</v>
      </c>
      <c r="C44" s="413">
        <f>'Table 3 Levels 1&amp;2'!AO45</f>
        <v>12224296.79</v>
      </c>
      <c r="D44" s="477">
        <f>'[13]Audit Adjs_09-10 BL_TOTAL'!E45</f>
        <v>0</v>
      </c>
      <c r="E44" s="477">
        <f>'[14]Audit Adjs - TOTAL'!F46</f>
        <v>-3507.7801136363632</v>
      </c>
      <c r="F44" s="477">
        <f t="shared" si="4"/>
        <v>-3507.7801136363632</v>
      </c>
      <c r="G44" s="413">
        <f t="shared" si="2"/>
        <v>0</v>
      </c>
      <c r="H44" s="477">
        <f t="shared" si="5"/>
        <v>-3507.7801136363632</v>
      </c>
      <c r="I44" s="1035">
        <f t="shared" si="6"/>
        <v>12220789</v>
      </c>
      <c r="J44" s="1030">
        <f>-'[17]FY2009-10 MFP SFSF Funds'!$D42</f>
        <v>-373676</v>
      </c>
      <c r="K44" s="1035">
        <f t="shared" si="7"/>
        <v>11847113</v>
      </c>
      <c r="L44" s="413">
        <f>'Dec Midyear Adjustment'!O43</f>
        <v>769137.2288494027</v>
      </c>
      <c r="M44" s="477">
        <f>'March Midyear Adjustment'!M43</f>
        <v>0</v>
      </c>
      <c r="N44" s="477"/>
      <c r="O44" s="1035">
        <f t="shared" si="8"/>
        <v>12616250.228849404</v>
      </c>
      <c r="P44" s="413">
        <f>'[26]MFP'!$BY$42</f>
        <v>8269225</v>
      </c>
      <c r="Q44" s="413">
        <f t="shared" si="9"/>
        <v>4347025.228849404</v>
      </c>
      <c r="R44" s="413">
        <f t="shared" si="10"/>
        <v>1086756</v>
      </c>
      <c r="S44" s="413">
        <f>'Table 4A Stipends'!G41</f>
        <v>4000</v>
      </c>
      <c r="T44" s="477">
        <f t="shared" si="11"/>
        <v>12620250.228849404</v>
      </c>
      <c r="U44" s="1304"/>
      <c r="V44" s="1305"/>
      <c r="W44" s="1305"/>
      <c r="X44" s="1305"/>
      <c r="Y44" s="1305"/>
      <c r="Z44" s="1305"/>
    </row>
    <row r="45" spans="1:26" ht="12.75">
      <c r="A45" s="124">
        <v>39</v>
      </c>
      <c r="B45" s="404" t="s">
        <v>340</v>
      </c>
      <c r="C45" s="413">
        <f>'Table 3 Levels 1&amp;2'!AO46</f>
        <v>12630516.177634541</v>
      </c>
      <c r="D45" s="477">
        <f>'[13]Audit Adjs_09-10 BL_TOTAL'!E46</f>
        <v>0</v>
      </c>
      <c r="E45" s="477">
        <f>'[14]Audit Adjs - TOTAL'!F47</f>
        <v>-22523.8766431311</v>
      </c>
      <c r="F45" s="477">
        <f t="shared" si="4"/>
        <v>-22523.8766431311</v>
      </c>
      <c r="G45" s="413">
        <f t="shared" si="2"/>
        <v>0</v>
      </c>
      <c r="H45" s="477">
        <f t="shared" si="5"/>
        <v>-22523.8766431311</v>
      </c>
      <c r="I45" s="1035">
        <f t="shared" si="6"/>
        <v>12607992</v>
      </c>
      <c r="J45" s="1030">
        <f>-'[17]FY2009-10 MFP SFSF Funds'!$D43</f>
        <v>-386093</v>
      </c>
      <c r="K45" s="1035">
        <f t="shared" si="7"/>
        <v>12221899</v>
      </c>
      <c r="L45" s="413">
        <f>'Dec Midyear Adjustment'!O44+'Dec Midyear Adjustment'!O138</f>
        <v>110346.83399571328</v>
      </c>
      <c r="M45" s="477">
        <f>'March Midyear Adjustment'!M44+'March Midyear Adjustment'!M138</f>
        <v>0</v>
      </c>
      <c r="N45" s="477">
        <f>-'Table 5B2_RSD_LA'!S22</f>
        <v>-1709650.875829384</v>
      </c>
      <c r="O45" s="1035">
        <f t="shared" si="8"/>
        <v>10622594.95816633</v>
      </c>
      <c r="P45" s="1029">
        <f>'[26]MFP'!$BY$78</f>
        <v>7080386</v>
      </c>
      <c r="Q45" s="413">
        <f t="shared" si="9"/>
        <v>3542208.958166329</v>
      </c>
      <c r="R45" s="413">
        <f t="shared" si="10"/>
        <v>885552</v>
      </c>
      <c r="S45" s="413">
        <f>'Table 4A Stipends'!G42</f>
        <v>0</v>
      </c>
      <c r="T45" s="477">
        <f t="shared" si="11"/>
        <v>10622594.95816633</v>
      </c>
      <c r="U45" s="959"/>
      <c r="V45" s="1193"/>
      <c r="W45" s="960"/>
      <c r="X45" s="960"/>
      <c r="Y45" s="960"/>
      <c r="Z45" s="960"/>
    </row>
    <row r="46" spans="1:20" ht="12.75">
      <c r="A46" s="125">
        <v>40</v>
      </c>
      <c r="B46" s="405" t="s">
        <v>341</v>
      </c>
      <c r="C46" s="422">
        <f>'Table 3 Levels 1&amp;2'!AO47</f>
        <v>120737469.226808</v>
      </c>
      <c r="D46" s="478">
        <f>'[13]Audit Adjs_09-10 BL_TOTAL'!E47</f>
        <v>0</v>
      </c>
      <c r="E46" s="478">
        <f>'[14]Audit Adjs - TOTAL'!F48</f>
        <v>-214262.77132000704</v>
      </c>
      <c r="F46" s="478">
        <f t="shared" si="4"/>
        <v>-214262.77132000704</v>
      </c>
      <c r="G46" s="422">
        <f t="shared" si="2"/>
        <v>0</v>
      </c>
      <c r="H46" s="478">
        <f t="shared" si="5"/>
        <v>-214262.77132000704</v>
      </c>
      <c r="I46" s="1036">
        <f t="shared" si="6"/>
        <v>120523206</v>
      </c>
      <c r="J46" s="1037">
        <f>-'[17]FY2009-10 MFP SFSF Funds'!$D44</f>
        <v>-3690735</v>
      </c>
      <c r="K46" s="1036">
        <f t="shared" si="7"/>
        <v>116832471</v>
      </c>
      <c r="L46" s="422">
        <f>'Dec Midyear Adjustment'!O45</f>
        <v>1394357.4985927825</v>
      </c>
      <c r="M46" s="478">
        <f>'March Midyear Adjustment'!M45</f>
        <v>0</v>
      </c>
      <c r="N46" s="478"/>
      <c r="O46" s="1036">
        <f t="shared" si="8"/>
        <v>118226828.49859278</v>
      </c>
      <c r="P46" s="422">
        <f>'[26]MFP'!BY43</f>
        <v>78895979</v>
      </c>
      <c r="Q46" s="422">
        <f t="shared" si="9"/>
        <v>39330849.49859278</v>
      </c>
      <c r="R46" s="422">
        <f t="shared" si="10"/>
        <v>9832712</v>
      </c>
      <c r="S46" s="422">
        <f>'Table 4A Stipends'!G43</f>
        <v>0</v>
      </c>
      <c r="T46" s="478">
        <f t="shared" si="11"/>
        <v>118226828.49859278</v>
      </c>
    </row>
    <row r="47" spans="1:20" ht="12.75">
      <c r="A47" s="124">
        <v>41</v>
      </c>
      <c r="B47" s="404" t="s">
        <v>342</v>
      </c>
      <c r="C47" s="413">
        <f>'Table 3 Levels 1&amp;2'!AO48</f>
        <v>9852218.678528</v>
      </c>
      <c r="D47" s="477">
        <f>'[13]Audit Adjs_09-10 BL_TOTAL'!E48</f>
        <v>0</v>
      </c>
      <c r="E47" s="477">
        <f>'[14]Audit Adjs - TOTAL'!F49</f>
        <v>1397.4580619644012</v>
      </c>
      <c r="F47" s="477">
        <f t="shared" si="4"/>
        <v>1397.4580619644012</v>
      </c>
      <c r="G47" s="413">
        <f t="shared" si="2"/>
        <v>1397.4580619644012</v>
      </c>
      <c r="H47" s="477">
        <f t="shared" si="5"/>
        <v>0</v>
      </c>
      <c r="I47" s="1035">
        <f t="shared" si="6"/>
        <v>9853616</v>
      </c>
      <c r="J47" s="1030">
        <f>-'[17]FY2009-10 MFP SFSF Funds'!$D45</f>
        <v>-301165</v>
      </c>
      <c r="K47" s="1035">
        <f t="shared" si="7"/>
        <v>9552451</v>
      </c>
      <c r="L47" s="413">
        <f>'Dec Midyear Adjustment'!O46</f>
        <v>394088.74714112</v>
      </c>
      <c r="M47" s="477">
        <f>'March Midyear Adjustment'!M46</f>
        <v>0</v>
      </c>
      <c r="N47" s="477"/>
      <c r="O47" s="1035">
        <f t="shared" si="8"/>
        <v>9946539.74714112</v>
      </c>
      <c r="P47" s="413">
        <f>'[26]MFP'!BY44</f>
        <v>6570659</v>
      </c>
      <c r="Q47" s="413">
        <f t="shared" si="9"/>
        <v>3375880.747141119</v>
      </c>
      <c r="R47" s="413">
        <f t="shared" si="10"/>
        <v>843970</v>
      </c>
      <c r="S47" s="413">
        <f>'Table 4A Stipends'!G44</f>
        <v>0</v>
      </c>
      <c r="T47" s="477">
        <f t="shared" si="11"/>
        <v>9946539.74714112</v>
      </c>
    </row>
    <row r="48" spans="1:20" ht="12.75">
      <c r="A48" s="124">
        <v>42</v>
      </c>
      <c r="B48" s="404" t="s">
        <v>343</v>
      </c>
      <c r="C48" s="413">
        <f>'Table 3 Levels 1&amp;2'!AO49</f>
        <v>20089605.590016</v>
      </c>
      <c r="D48" s="477">
        <f>'[13]Audit Adjs_09-10 BL_TOTAL'!E49</f>
        <v>0</v>
      </c>
      <c r="E48" s="477">
        <f>'[14]Audit Adjs - TOTAL'!F50</f>
        <v>0</v>
      </c>
      <c r="F48" s="477">
        <f t="shared" si="4"/>
        <v>0</v>
      </c>
      <c r="G48" s="413">
        <f t="shared" si="2"/>
        <v>0</v>
      </c>
      <c r="H48" s="477">
        <f t="shared" si="5"/>
        <v>0</v>
      </c>
      <c r="I48" s="1035">
        <f t="shared" si="6"/>
        <v>20089606</v>
      </c>
      <c r="J48" s="1030">
        <f>-'[17]FY2009-10 MFP SFSF Funds'!$D46</f>
        <v>-614104</v>
      </c>
      <c r="K48" s="1035">
        <f t="shared" si="7"/>
        <v>19475502</v>
      </c>
      <c r="L48" s="413">
        <f>'Dec Midyear Adjustment'!O47</f>
        <v>207486.81350563306</v>
      </c>
      <c r="M48" s="477">
        <f>'March Midyear Adjustment'!M47</f>
        <v>0</v>
      </c>
      <c r="N48" s="477"/>
      <c r="O48" s="1035">
        <f t="shared" si="8"/>
        <v>19682988.813505635</v>
      </c>
      <c r="P48" s="413">
        <f>'[26]MFP'!BY45</f>
        <v>13140825</v>
      </c>
      <c r="Q48" s="413">
        <f t="shared" si="9"/>
        <v>6542163.813505635</v>
      </c>
      <c r="R48" s="413">
        <f t="shared" si="10"/>
        <v>1635541</v>
      </c>
      <c r="S48" s="413">
        <f>'Table 4A Stipends'!G45</f>
        <v>24000</v>
      </c>
      <c r="T48" s="477">
        <f t="shared" si="11"/>
        <v>19706988.813505635</v>
      </c>
    </row>
    <row r="49" spans="1:20" ht="12.75">
      <c r="A49" s="124">
        <v>43</v>
      </c>
      <c r="B49" s="404" t="s">
        <v>344</v>
      </c>
      <c r="C49" s="413">
        <f>'Table 3 Levels 1&amp;2'!AO50</f>
        <v>25116769.569172</v>
      </c>
      <c r="D49" s="477">
        <f>'[13]Audit Adjs_09-10 BL_TOTAL'!E50</f>
        <v>0</v>
      </c>
      <c r="E49" s="477">
        <f>'[14]Audit Adjs - TOTAL'!F51</f>
        <v>0</v>
      </c>
      <c r="F49" s="477">
        <f t="shared" si="4"/>
        <v>0</v>
      </c>
      <c r="G49" s="413">
        <f t="shared" si="2"/>
        <v>0</v>
      </c>
      <c r="H49" s="477">
        <f t="shared" si="5"/>
        <v>0</v>
      </c>
      <c r="I49" s="1035">
        <f t="shared" si="6"/>
        <v>25116770</v>
      </c>
      <c r="J49" s="1030">
        <f>-'[17]FY2009-10 MFP SFSF Funds'!$D47</f>
        <v>-767776</v>
      </c>
      <c r="K49" s="1035">
        <f t="shared" si="7"/>
        <v>24348994</v>
      </c>
      <c r="L49" s="413">
        <f>'Dec Midyear Adjustment'!O48</f>
        <v>725324.5492758588</v>
      </c>
      <c r="M49" s="477">
        <f>'March Midyear Adjustment'!M48</f>
        <v>0</v>
      </c>
      <c r="N49" s="413"/>
      <c r="O49" s="1035">
        <f t="shared" si="8"/>
        <v>25074318.54927586</v>
      </c>
      <c r="P49" s="413">
        <f>'[26]MFP'!BY46</f>
        <v>16628824</v>
      </c>
      <c r="Q49" s="413">
        <f t="shared" si="9"/>
        <v>8445494.54927586</v>
      </c>
      <c r="R49" s="413">
        <f t="shared" si="10"/>
        <v>2111374</v>
      </c>
      <c r="S49" s="413">
        <f>'Table 4A Stipends'!G46</f>
        <v>0</v>
      </c>
      <c r="T49" s="413">
        <f t="shared" si="11"/>
        <v>25074318.54927586</v>
      </c>
    </row>
    <row r="50" spans="1:20" ht="12.75">
      <c r="A50" s="124">
        <v>44</v>
      </c>
      <c r="B50" s="404" t="s">
        <v>345</v>
      </c>
      <c r="C50" s="413">
        <f>'Table 3 Levels 1&amp;2'!AO51</f>
        <v>19864968.2778492</v>
      </c>
      <c r="D50" s="477">
        <f>'[13]Audit Adjs_09-10 BL_TOTAL'!E51</f>
        <v>0</v>
      </c>
      <c r="E50" s="477">
        <f>'[14]Audit Adjs - TOTAL'!F52</f>
        <v>-4611.106640077374</v>
      </c>
      <c r="F50" s="477">
        <f t="shared" si="4"/>
        <v>-4611.106640077374</v>
      </c>
      <c r="G50" s="413">
        <f t="shared" si="2"/>
        <v>0</v>
      </c>
      <c r="H50" s="477">
        <f t="shared" si="5"/>
        <v>-4611.106640077374</v>
      </c>
      <c r="I50" s="1035">
        <f t="shared" si="6"/>
        <v>19860357</v>
      </c>
      <c r="J50" s="1030">
        <f>-'[17]FY2009-10 MFP SFSF Funds'!$D48</f>
        <v>-607238</v>
      </c>
      <c r="K50" s="1035">
        <f t="shared" si="7"/>
        <v>19253119</v>
      </c>
      <c r="L50" s="413">
        <f>'Dec Midyear Adjustment'!O49</f>
        <v>2255829.1574983606</v>
      </c>
      <c r="M50" s="477">
        <f>'March Midyear Adjustment'!M49</f>
        <v>132159.6880150555</v>
      </c>
      <c r="N50" s="413"/>
      <c r="O50" s="1035">
        <f t="shared" si="8"/>
        <v>21641107.845513415</v>
      </c>
      <c r="P50" s="413">
        <f>'[26]MFP'!BY47</f>
        <v>13869668</v>
      </c>
      <c r="Q50" s="413">
        <f t="shared" si="9"/>
        <v>7771439.845513415</v>
      </c>
      <c r="R50" s="413">
        <f t="shared" si="10"/>
        <v>1942860</v>
      </c>
      <c r="S50" s="413">
        <f>'Table 4A Stipends'!G47</f>
        <v>0</v>
      </c>
      <c r="T50" s="413">
        <f t="shared" si="11"/>
        <v>21641107.845513415</v>
      </c>
    </row>
    <row r="51" spans="1:20" ht="12.75">
      <c r="A51" s="125">
        <v>45</v>
      </c>
      <c r="B51" s="405" t="s">
        <v>346</v>
      </c>
      <c r="C51" s="422">
        <f>'Table 3 Levels 1&amp;2'!AO52</f>
        <v>30994623.15</v>
      </c>
      <c r="D51" s="478">
        <f>'[13]Audit Adjs_09-10 BL_TOTAL'!E52</f>
        <v>0</v>
      </c>
      <c r="E51" s="478">
        <f>'[14]Audit Adjs - TOTAL'!F53</f>
        <v>-3459.1658793666807</v>
      </c>
      <c r="F51" s="478">
        <f t="shared" si="4"/>
        <v>-3459.1658793666807</v>
      </c>
      <c r="G51" s="422">
        <f t="shared" si="2"/>
        <v>0</v>
      </c>
      <c r="H51" s="478">
        <f t="shared" si="5"/>
        <v>-3459.1658793666807</v>
      </c>
      <c r="I51" s="1036">
        <f t="shared" si="6"/>
        <v>30991164</v>
      </c>
      <c r="J51" s="1037">
        <f>-'[17]FY2009-10 MFP SFSF Funds'!$D49</f>
        <v>-947452</v>
      </c>
      <c r="K51" s="1036">
        <f t="shared" si="7"/>
        <v>30043712</v>
      </c>
      <c r="L51" s="422">
        <f>'Dec Midyear Adjustment'!O50</f>
        <v>388479.33931928687</v>
      </c>
      <c r="M51" s="478">
        <f>'March Midyear Adjustment'!M50</f>
        <v>0</v>
      </c>
      <c r="N51" s="422"/>
      <c r="O51" s="1036">
        <f t="shared" si="8"/>
        <v>30432191.33931929</v>
      </c>
      <c r="P51" s="422">
        <f>'[26]MFP'!BY48</f>
        <v>20300906</v>
      </c>
      <c r="Q51" s="422">
        <f t="shared" si="9"/>
        <v>10131285.339319289</v>
      </c>
      <c r="R51" s="422">
        <f t="shared" si="10"/>
        <v>2532821</v>
      </c>
      <c r="S51" s="422">
        <f>'Table 4A Stipends'!G48</f>
        <v>0</v>
      </c>
      <c r="T51" s="422">
        <f t="shared" si="11"/>
        <v>30432191.33931929</v>
      </c>
    </row>
    <row r="52" spans="1:20" ht="12.75">
      <c r="A52" s="124">
        <v>46</v>
      </c>
      <c r="B52" s="404" t="s">
        <v>347</v>
      </c>
      <c r="C52" s="413">
        <f>'Table 3 Levels 1&amp;2'!AO53</f>
        <v>7349405.673708</v>
      </c>
      <c r="D52" s="477">
        <f>'[13]Audit Adjs_09-10 BL_TOTAL'!E53</f>
        <v>0</v>
      </c>
      <c r="E52" s="477">
        <f>'[14]Audit Adjs - TOTAL'!F54</f>
        <v>-3199.5215194652974</v>
      </c>
      <c r="F52" s="477">
        <f t="shared" si="4"/>
        <v>-3199.5215194652974</v>
      </c>
      <c r="G52" s="413">
        <f t="shared" si="2"/>
        <v>0</v>
      </c>
      <c r="H52" s="477">
        <f t="shared" si="5"/>
        <v>-3199.5215194652974</v>
      </c>
      <c r="I52" s="1035">
        <f t="shared" si="6"/>
        <v>7346206</v>
      </c>
      <c r="J52" s="1030">
        <f>-'[17]FY2009-10 MFP SFSF Funds'!$D50</f>
        <v>-224659</v>
      </c>
      <c r="K52" s="1035">
        <f t="shared" si="7"/>
        <v>7121547</v>
      </c>
      <c r="L52" s="413">
        <f>'Dec Midyear Adjustment'!O51</f>
        <v>148277.4828906</v>
      </c>
      <c r="M52" s="477">
        <f>'March Midyear Adjustment'!M51</f>
        <v>0</v>
      </c>
      <c r="N52" s="413"/>
      <c r="O52" s="1035">
        <f t="shared" si="8"/>
        <v>7269824.4828906</v>
      </c>
      <c r="P52" s="413">
        <f>'[26]MFP'!BY49</f>
        <v>4836208</v>
      </c>
      <c r="Q52" s="413">
        <f t="shared" si="9"/>
        <v>2433616.4828906003</v>
      </c>
      <c r="R52" s="413">
        <f t="shared" si="10"/>
        <v>608404</v>
      </c>
      <c r="S52" s="413">
        <f>'Table 4A Stipends'!G49</f>
        <v>0</v>
      </c>
      <c r="T52" s="413">
        <f t="shared" si="11"/>
        <v>7269824.4828906</v>
      </c>
    </row>
    <row r="53" spans="1:20" ht="12.75">
      <c r="A53" s="124">
        <v>47</v>
      </c>
      <c r="B53" s="404" t="s">
        <v>348</v>
      </c>
      <c r="C53" s="413">
        <f>'Table 3 Levels 1&amp;2'!AO54</f>
        <v>17476327.555417597</v>
      </c>
      <c r="D53" s="477">
        <f>'[13]Audit Adjs_09-10 BL_TOTAL'!E54</f>
        <v>0</v>
      </c>
      <c r="E53" s="477">
        <f>'[14]Audit Adjs - TOTAL'!F55</f>
        <v>-3425.9813084112147</v>
      </c>
      <c r="F53" s="477">
        <f t="shared" si="4"/>
        <v>-3425.9813084112147</v>
      </c>
      <c r="G53" s="413">
        <f t="shared" si="2"/>
        <v>0</v>
      </c>
      <c r="H53" s="477">
        <f t="shared" si="5"/>
        <v>-3425.9813084112147</v>
      </c>
      <c r="I53" s="1035">
        <f t="shared" si="6"/>
        <v>17472902</v>
      </c>
      <c r="J53" s="1030">
        <f>-'[17]FY2009-10 MFP SFSF Funds'!$D51</f>
        <v>-534221</v>
      </c>
      <c r="K53" s="1035">
        <f t="shared" si="7"/>
        <v>16938681</v>
      </c>
      <c r="L53" s="413">
        <f>'Dec Midyear Adjustment'!O52</f>
        <v>0</v>
      </c>
      <c r="M53" s="477">
        <f>'March Midyear Adjustment'!M52</f>
        <v>0</v>
      </c>
      <c r="N53" s="413"/>
      <c r="O53" s="1035">
        <f t="shared" si="8"/>
        <v>16938681</v>
      </c>
      <c r="P53" s="413">
        <f>'[26]MFP'!BY50</f>
        <v>11351812</v>
      </c>
      <c r="Q53" s="413">
        <f t="shared" si="9"/>
        <v>5586869</v>
      </c>
      <c r="R53" s="413">
        <f t="shared" si="10"/>
        <v>1396717</v>
      </c>
      <c r="S53" s="413">
        <f>'Table 4A Stipends'!G50</f>
        <v>0</v>
      </c>
      <c r="T53" s="413">
        <f t="shared" si="11"/>
        <v>16938681</v>
      </c>
    </row>
    <row r="54" spans="1:20" ht="12.75">
      <c r="A54" s="124">
        <v>48</v>
      </c>
      <c r="B54" s="404" t="s">
        <v>428</v>
      </c>
      <c r="C54" s="413">
        <f>'Table 3 Levels 1&amp;2'!AO55</f>
        <v>30817613.541787602</v>
      </c>
      <c r="D54" s="477">
        <f>'[13]Audit Adjs_09-10 BL_TOTAL'!E55</f>
        <v>0</v>
      </c>
      <c r="E54" s="477">
        <f>'[14]Audit Adjs - TOTAL'!F56</f>
        <v>-105730.77433242707</v>
      </c>
      <c r="F54" s="477">
        <f t="shared" si="4"/>
        <v>-105730.77433242707</v>
      </c>
      <c r="G54" s="413">
        <f t="shared" si="2"/>
        <v>0</v>
      </c>
      <c r="H54" s="477">
        <f t="shared" si="5"/>
        <v>-105730.77433242707</v>
      </c>
      <c r="I54" s="1035">
        <f t="shared" si="6"/>
        <v>30711883</v>
      </c>
      <c r="J54" s="1030">
        <f>-'[17]FY2009-10 MFP SFSF Funds'!$D52</f>
        <v>-942041</v>
      </c>
      <c r="K54" s="1035">
        <f t="shared" si="7"/>
        <v>29769842</v>
      </c>
      <c r="L54" s="413">
        <f>'Dec Midyear Adjustment'!O53</f>
        <v>0</v>
      </c>
      <c r="M54" s="477">
        <f>'March Midyear Adjustment'!M53</f>
        <v>0</v>
      </c>
      <c r="N54" s="413"/>
      <c r="O54" s="1035">
        <f t="shared" si="8"/>
        <v>29769842</v>
      </c>
      <c r="P54" s="413">
        <f>'[26]MFP'!BY51</f>
        <v>19951232</v>
      </c>
      <c r="Q54" s="413">
        <f t="shared" si="9"/>
        <v>9818610</v>
      </c>
      <c r="R54" s="413">
        <f t="shared" si="10"/>
        <v>2454653</v>
      </c>
      <c r="S54" s="413">
        <f>'Table 4A Stipends'!G51</f>
        <v>0</v>
      </c>
      <c r="T54" s="413">
        <f t="shared" si="11"/>
        <v>29769842</v>
      </c>
    </row>
    <row r="55" spans="1:20" ht="12.75">
      <c r="A55" s="124">
        <v>49</v>
      </c>
      <c r="B55" s="404" t="s">
        <v>349</v>
      </c>
      <c r="C55" s="413">
        <f>'Table 3 Levels 1&amp;2'!AO56</f>
        <v>78096376.547136</v>
      </c>
      <c r="D55" s="477">
        <f>'[13]Audit Adjs_09-10 BL_TOTAL'!E56</f>
        <v>0</v>
      </c>
      <c r="E55" s="477">
        <f>'[14]Audit Adjs - TOTAL'!F57</f>
        <v>-163790.44283246287</v>
      </c>
      <c r="F55" s="477">
        <f t="shared" si="4"/>
        <v>-163790.44283246287</v>
      </c>
      <c r="G55" s="413">
        <f t="shared" si="2"/>
        <v>0</v>
      </c>
      <c r="H55" s="477">
        <f t="shared" si="5"/>
        <v>-163790.44283246287</v>
      </c>
      <c r="I55" s="1035">
        <f t="shared" si="6"/>
        <v>77932586</v>
      </c>
      <c r="J55" s="1030">
        <f>-'[17]FY2009-10 MFP SFSF Funds'!$D53</f>
        <v>-2387271</v>
      </c>
      <c r="K55" s="1035">
        <f t="shared" si="7"/>
        <v>75545315</v>
      </c>
      <c r="L55" s="413">
        <f>'Dec Midyear Adjustment'!O54</f>
        <v>831214.4576860146</v>
      </c>
      <c r="M55" s="477">
        <f>'March Midyear Adjustment'!M54</f>
        <v>0</v>
      </c>
      <c r="N55" s="413"/>
      <c r="O55" s="1035">
        <f t="shared" si="8"/>
        <v>76376529.45768602</v>
      </c>
      <c r="P55" s="413">
        <f>'[26]MFP'!BY52</f>
        <v>50985031</v>
      </c>
      <c r="Q55" s="413">
        <f t="shared" si="9"/>
        <v>25391498.457686022</v>
      </c>
      <c r="R55" s="413">
        <f t="shared" si="10"/>
        <v>6347875</v>
      </c>
      <c r="S55" s="413">
        <f>'Table 4A Stipends'!G52</f>
        <v>0</v>
      </c>
      <c r="T55" s="413">
        <f t="shared" si="11"/>
        <v>76376529.45768602</v>
      </c>
    </row>
    <row r="56" spans="1:20" ht="12.75">
      <c r="A56" s="125">
        <v>50</v>
      </c>
      <c r="B56" s="405" t="s">
        <v>350</v>
      </c>
      <c r="C56" s="422">
        <f>'Table 3 Levels 1&amp;2'!AO57</f>
        <v>45401776.613552004</v>
      </c>
      <c r="D56" s="478">
        <f>'[13]Audit Adjs_09-10 BL_TOTAL'!E57</f>
        <v>0</v>
      </c>
      <c r="E56" s="478">
        <f>'[14]Audit Adjs - TOTAL'!F58</f>
        <v>-18535.07501972903</v>
      </c>
      <c r="F56" s="478">
        <f t="shared" si="4"/>
        <v>-18535.07501972903</v>
      </c>
      <c r="G56" s="422">
        <f t="shared" si="2"/>
        <v>0</v>
      </c>
      <c r="H56" s="478">
        <f t="shared" si="5"/>
        <v>-18535.07501972903</v>
      </c>
      <c r="I56" s="1036">
        <f t="shared" si="6"/>
        <v>45383242</v>
      </c>
      <c r="J56" s="1037">
        <f>-'[17]FY2009-10 MFP SFSF Funds'!$D54</f>
        <v>-1387854</v>
      </c>
      <c r="K56" s="1036">
        <f t="shared" si="7"/>
        <v>43995388</v>
      </c>
      <c r="L56" s="422">
        <f>'Dec Midyear Adjustment'!O55</f>
        <v>0</v>
      </c>
      <c r="M56" s="478">
        <f>'March Midyear Adjustment'!M55</f>
        <v>0</v>
      </c>
      <c r="N56" s="422"/>
      <c r="O56" s="1036">
        <f t="shared" si="8"/>
        <v>43995388</v>
      </c>
      <c r="P56" s="422">
        <f>'[26]MFP'!BY53</f>
        <v>29484466</v>
      </c>
      <c r="Q56" s="422">
        <f t="shared" si="9"/>
        <v>14510922</v>
      </c>
      <c r="R56" s="422">
        <f t="shared" si="10"/>
        <v>3627731</v>
      </c>
      <c r="S56" s="422">
        <f>'Table 4A Stipends'!G53</f>
        <v>48000</v>
      </c>
      <c r="T56" s="422">
        <f t="shared" si="11"/>
        <v>44043388</v>
      </c>
    </row>
    <row r="57" spans="1:20" ht="12.75">
      <c r="A57" s="124">
        <v>51</v>
      </c>
      <c r="B57" s="404" t="s">
        <v>351</v>
      </c>
      <c r="C57" s="413">
        <f>'Table 3 Levels 1&amp;2'!AO58</f>
        <v>48736713.90236</v>
      </c>
      <c r="D57" s="477">
        <f>'[13]Audit Adjs_09-10 BL_TOTAL'!E58</f>
        <v>0</v>
      </c>
      <c r="E57" s="477">
        <f>'[14]Audit Adjs - TOTAL'!F59</f>
        <v>-4467.8731149333935</v>
      </c>
      <c r="F57" s="477">
        <f t="shared" si="4"/>
        <v>-4467.8731149333935</v>
      </c>
      <c r="G57" s="413">
        <f t="shared" si="2"/>
        <v>0</v>
      </c>
      <c r="H57" s="477">
        <f t="shared" si="5"/>
        <v>-4467.8731149333935</v>
      </c>
      <c r="I57" s="1035">
        <f t="shared" si="6"/>
        <v>48732246</v>
      </c>
      <c r="J57" s="1030">
        <f>-'[17]FY2009-10 MFP SFSF Funds'!$D55</f>
        <v>-1489797</v>
      </c>
      <c r="K57" s="1035">
        <f t="shared" si="7"/>
        <v>47242449</v>
      </c>
      <c r="L57" s="413">
        <f>'Dec Midyear Adjustment'!O56</f>
        <v>0</v>
      </c>
      <c r="M57" s="477">
        <f>'March Midyear Adjustment'!M56</f>
        <v>0</v>
      </c>
      <c r="N57" s="413"/>
      <c r="O57" s="1035">
        <f t="shared" si="8"/>
        <v>47242449</v>
      </c>
      <c r="P57" s="413">
        <f>'[26]MFP'!BY54</f>
        <v>31660500</v>
      </c>
      <c r="Q57" s="413">
        <f t="shared" si="9"/>
        <v>15581949</v>
      </c>
      <c r="R57" s="413">
        <f t="shared" si="10"/>
        <v>3895487</v>
      </c>
      <c r="S57" s="413">
        <f>'Table 4A Stipends'!G54</f>
        <v>0</v>
      </c>
      <c r="T57" s="413">
        <f t="shared" si="11"/>
        <v>47242449</v>
      </c>
    </row>
    <row r="58" spans="1:20" ht="12.75">
      <c r="A58" s="124">
        <v>52</v>
      </c>
      <c r="B58" s="404" t="s">
        <v>352</v>
      </c>
      <c r="C58" s="413">
        <f>'Table 3 Levels 1&amp;2'!AO59</f>
        <v>184049781.45707923</v>
      </c>
      <c r="D58" s="477">
        <f>'[13]Audit Adjs_09-10 BL_TOTAL'!E59</f>
        <v>-59299</v>
      </c>
      <c r="E58" s="477">
        <f>'[14]Audit Adjs - TOTAL'!F60</f>
        <v>-147914.69410092573</v>
      </c>
      <c r="F58" s="477">
        <f t="shared" si="4"/>
        <v>-207213.69410092573</v>
      </c>
      <c r="G58" s="413">
        <f t="shared" si="2"/>
        <v>0</v>
      </c>
      <c r="H58" s="477">
        <f t="shared" si="5"/>
        <v>-207213.69410092573</v>
      </c>
      <c r="I58" s="1035">
        <f t="shared" si="6"/>
        <v>183842568</v>
      </c>
      <c r="J58" s="1030">
        <f>-'[17]FY2009-10 MFP SFSF Funds'!$D56</f>
        <v>-5626082</v>
      </c>
      <c r="K58" s="1035">
        <f t="shared" si="7"/>
        <v>178216486</v>
      </c>
      <c r="L58" s="413">
        <f>'Dec Midyear Adjustment'!O57</f>
        <v>3596186.87551347</v>
      </c>
      <c r="M58" s="477">
        <f>'March Midyear Adjustment'!M57</f>
        <v>0</v>
      </c>
      <c r="N58" s="413"/>
      <c r="O58" s="1035">
        <f t="shared" si="8"/>
        <v>181812672.87551346</v>
      </c>
      <c r="P58" s="413">
        <f>'[26]MFP'!BY55</f>
        <v>120977335</v>
      </c>
      <c r="Q58" s="413">
        <f t="shared" si="9"/>
        <v>60835337.875513464</v>
      </c>
      <c r="R58" s="413">
        <f t="shared" si="10"/>
        <v>15208834</v>
      </c>
      <c r="S58" s="413">
        <f>'Table 4A Stipends'!G55</f>
        <v>0</v>
      </c>
      <c r="T58" s="413">
        <f t="shared" si="11"/>
        <v>181812672.87551346</v>
      </c>
    </row>
    <row r="59" spans="1:20" ht="12.75">
      <c r="A59" s="124">
        <v>53</v>
      </c>
      <c r="B59" s="404" t="s">
        <v>353</v>
      </c>
      <c r="C59" s="413">
        <f>'Table 3 Levels 1&amp;2'!AO60</f>
        <v>101848646.344136</v>
      </c>
      <c r="D59" s="477">
        <f>'[13]Audit Adjs_09-10 BL_TOTAL'!E60</f>
        <v>-3727</v>
      </c>
      <c r="E59" s="477">
        <f>'[14]Audit Adjs - TOTAL'!F61</f>
        <v>-21661.756424063926</v>
      </c>
      <c r="F59" s="477">
        <f t="shared" si="4"/>
        <v>-25388.756424063926</v>
      </c>
      <c r="G59" s="413">
        <f t="shared" si="2"/>
        <v>0</v>
      </c>
      <c r="H59" s="477">
        <f t="shared" si="5"/>
        <v>-25388.756424063926</v>
      </c>
      <c r="I59" s="1035">
        <f t="shared" si="6"/>
        <v>101823258</v>
      </c>
      <c r="J59" s="1030">
        <f>-'[17]FY2009-10 MFP SFSF Funds'!$D57</f>
        <v>-3113337</v>
      </c>
      <c r="K59" s="1035">
        <f t="shared" si="7"/>
        <v>98709921</v>
      </c>
      <c r="L59" s="413">
        <f>'Dec Midyear Adjustment'!O58</f>
        <v>794109.4649620756</v>
      </c>
      <c r="M59" s="477">
        <f>'March Midyear Adjustment'!M58</f>
        <v>0</v>
      </c>
      <c r="N59" s="413"/>
      <c r="O59" s="1035">
        <f t="shared" si="8"/>
        <v>99504030.46496208</v>
      </c>
      <c r="P59" s="413">
        <f>'[26]MFP'!BY56</f>
        <v>66492873</v>
      </c>
      <c r="Q59" s="413">
        <f t="shared" si="9"/>
        <v>33011157.46496208</v>
      </c>
      <c r="R59" s="413">
        <f t="shared" si="10"/>
        <v>8252789</v>
      </c>
      <c r="S59" s="413">
        <f>'Table 4A Stipends'!G56</f>
        <v>18000</v>
      </c>
      <c r="T59" s="413">
        <f t="shared" si="11"/>
        <v>99522030.46496208</v>
      </c>
    </row>
    <row r="60" spans="1:20" ht="12.75">
      <c r="A60" s="124">
        <v>54</v>
      </c>
      <c r="B60" s="404" t="s">
        <v>354</v>
      </c>
      <c r="C60" s="413">
        <f>'Table 3 Levels 1&amp;2'!AO61</f>
        <v>4656038.376056</v>
      </c>
      <c r="D60" s="477">
        <f>'[13]Audit Adjs_09-10 BL_TOTAL'!E61</f>
        <v>0</v>
      </c>
      <c r="E60" s="477">
        <f>'[14]Audit Adjs - TOTAL'!F62</f>
        <v>-4146.281917808219</v>
      </c>
      <c r="F60" s="477">
        <f t="shared" si="4"/>
        <v>-4146.281917808219</v>
      </c>
      <c r="G60" s="413">
        <f t="shared" si="2"/>
        <v>0</v>
      </c>
      <c r="H60" s="477">
        <f t="shared" si="5"/>
        <v>-4146.281917808219</v>
      </c>
      <c r="I60" s="1035">
        <f t="shared" si="6"/>
        <v>4651892</v>
      </c>
      <c r="J60" s="1030">
        <f>-'[17]FY2009-10 MFP SFSF Funds'!$D58</f>
        <v>-142327</v>
      </c>
      <c r="K60" s="1035">
        <f t="shared" si="7"/>
        <v>4509565</v>
      </c>
      <c r="L60" s="413">
        <f>'Dec Midyear Adjustment'!O59</f>
        <v>0</v>
      </c>
      <c r="M60" s="477">
        <f>'March Midyear Adjustment'!M59</f>
        <v>0</v>
      </c>
      <c r="N60" s="413"/>
      <c r="O60" s="1035">
        <f t="shared" si="8"/>
        <v>4509565</v>
      </c>
      <c r="P60" s="413">
        <f>'[26]MFP'!BY57</f>
        <v>3022192</v>
      </c>
      <c r="Q60" s="413">
        <f t="shared" si="9"/>
        <v>1487373</v>
      </c>
      <c r="R60" s="413">
        <f t="shared" si="10"/>
        <v>371843</v>
      </c>
      <c r="S60" s="413">
        <f>'Table 4A Stipends'!G57</f>
        <v>0</v>
      </c>
      <c r="T60" s="413">
        <f t="shared" si="11"/>
        <v>4509565</v>
      </c>
    </row>
    <row r="61" spans="1:20" ht="12.75">
      <c r="A61" s="125">
        <v>55</v>
      </c>
      <c r="B61" s="405" t="s">
        <v>355</v>
      </c>
      <c r="C61" s="422">
        <f>'Table 3 Levels 1&amp;2'!AO62</f>
        <v>86991423.73834</v>
      </c>
      <c r="D61" s="478">
        <f>'[13]Audit Adjs_09-10 BL_TOTAL'!E62</f>
        <v>0</v>
      </c>
      <c r="E61" s="478">
        <f>'[14]Audit Adjs - TOTAL'!F63</f>
        <v>-59260.42179433039</v>
      </c>
      <c r="F61" s="478">
        <f t="shared" si="4"/>
        <v>-59260.42179433039</v>
      </c>
      <c r="G61" s="422">
        <f t="shared" si="2"/>
        <v>0</v>
      </c>
      <c r="H61" s="478">
        <f t="shared" si="5"/>
        <v>-59260.42179433039</v>
      </c>
      <c r="I61" s="1036">
        <f t="shared" si="6"/>
        <v>86932163</v>
      </c>
      <c r="J61" s="1037">
        <f>-'[17]FY2009-10 MFP SFSF Funds'!$D59</f>
        <v>-2659177</v>
      </c>
      <c r="K61" s="1036">
        <f t="shared" si="7"/>
        <v>84272986</v>
      </c>
      <c r="L61" s="422">
        <f>'Dec Midyear Adjustment'!O60</f>
        <v>0</v>
      </c>
      <c r="M61" s="478">
        <f>'March Midyear Adjustment'!M60</f>
        <v>0</v>
      </c>
      <c r="N61" s="422"/>
      <c r="O61" s="1036">
        <f t="shared" si="8"/>
        <v>84272986</v>
      </c>
      <c r="P61" s="422">
        <f>'[26]MFP'!BY58</f>
        <v>56477456</v>
      </c>
      <c r="Q61" s="422">
        <f t="shared" si="9"/>
        <v>27795530</v>
      </c>
      <c r="R61" s="422">
        <f t="shared" si="10"/>
        <v>6948883</v>
      </c>
      <c r="S61" s="422">
        <f>'Table 4A Stipends'!G58</f>
        <v>0</v>
      </c>
      <c r="T61" s="422">
        <f t="shared" si="11"/>
        <v>84272986</v>
      </c>
    </row>
    <row r="62" spans="1:20" ht="12.75">
      <c r="A62" s="124">
        <v>56</v>
      </c>
      <c r="B62" s="404" t="s">
        <v>356</v>
      </c>
      <c r="C62" s="413">
        <f>'Table 3 Levels 1&amp;2'!AO63</f>
        <v>17181961.217744</v>
      </c>
      <c r="D62" s="477">
        <f>'[13]Audit Adjs_09-10 BL_TOTAL'!E63</f>
        <v>0</v>
      </c>
      <c r="E62" s="477">
        <f>'[14]Audit Adjs - TOTAL'!F64</f>
        <v>-9281.731092495553</v>
      </c>
      <c r="F62" s="477">
        <f t="shared" si="4"/>
        <v>-9281.731092495553</v>
      </c>
      <c r="G62" s="413">
        <f t="shared" si="2"/>
        <v>0</v>
      </c>
      <c r="H62" s="477">
        <f t="shared" si="5"/>
        <v>-9281.731092495553</v>
      </c>
      <c r="I62" s="1035">
        <f t="shared" si="6"/>
        <v>17172679</v>
      </c>
      <c r="J62" s="1030">
        <f>-'[17]FY2009-10 MFP SFSF Funds'!$D60</f>
        <v>-525223</v>
      </c>
      <c r="K62" s="1035">
        <f t="shared" si="7"/>
        <v>16647456</v>
      </c>
      <c r="L62" s="413">
        <f>'Dec Midyear Adjustment'!O61</f>
        <v>0</v>
      </c>
      <c r="M62" s="477">
        <f>'March Midyear Adjustment'!M61</f>
        <v>0</v>
      </c>
      <c r="N62" s="413"/>
      <c r="O62" s="1035">
        <f t="shared" si="8"/>
        <v>16647456</v>
      </c>
      <c r="P62" s="1029">
        <f>'[26]MFP'!$BY$76</f>
        <v>11156663</v>
      </c>
      <c r="Q62" s="413">
        <f t="shared" si="9"/>
        <v>5490793</v>
      </c>
      <c r="R62" s="413">
        <f t="shared" si="10"/>
        <v>1372698</v>
      </c>
      <c r="S62" s="413">
        <f>'Table 4A Stipends'!G59</f>
        <v>4000</v>
      </c>
      <c r="T62" s="413">
        <f t="shared" si="11"/>
        <v>16651456</v>
      </c>
    </row>
    <row r="63" spans="1:20" ht="12.75">
      <c r="A63" s="124">
        <v>57</v>
      </c>
      <c r="B63" s="404" t="s">
        <v>357</v>
      </c>
      <c r="C63" s="413">
        <f>'Table 3 Levels 1&amp;2'!AO64</f>
        <v>38547580.483148</v>
      </c>
      <c r="D63" s="477">
        <f>'[13]Audit Adjs_09-10 BL_TOTAL'!E64</f>
        <v>0</v>
      </c>
      <c r="E63" s="477">
        <f>'[14]Audit Adjs - TOTAL'!F65</f>
        <v>0</v>
      </c>
      <c r="F63" s="477">
        <f t="shared" si="4"/>
        <v>0</v>
      </c>
      <c r="G63" s="413">
        <f t="shared" si="2"/>
        <v>0</v>
      </c>
      <c r="H63" s="477">
        <f t="shared" si="5"/>
        <v>0</v>
      </c>
      <c r="I63" s="1035">
        <f t="shared" si="6"/>
        <v>38547580</v>
      </c>
      <c r="J63" s="1030">
        <f>-'[17]FY2009-10 MFP SFSF Funds'!$D61</f>
        <v>-1178333</v>
      </c>
      <c r="K63" s="1035">
        <f t="shared" si="7"/>
        <v>37369247</v>
      </c>
      <c r="L63" s="413">
        <f>'Dec Midyear Adjustment'!O62</f>
        <v>741472.4620796713</v>
      </c>
      <c r="M63" s="477">
        <f>'March Midyear Adjustment'!M62</f>
        <v>0</v>
      </c>
      <c r="N63" s="413"/>
      <c r="O63" s="1035">
        <f t="shared" si="8"/>
        <v>38110719.462079674</v>
      </c>
      <c r="P63" s="413">
        <f>'[26]MFP'!BY59</f>
        <v>25361531</v>
      </c>
      <c r="Q63" s="413">
        <f t="shared" si="9"/>
        <v>12749188.462079674</v>
      </c>
      <c r="R63" s="413">
        <f t="shared" si="10"/>
        <v>3187297</v>
      </c>
      <c r="S63" s="413">
        <f>'Table 4A Stipends'!G60</f>
        <v>0</v>
      </c>
      <c r="T63" s="413">
        <f t="shared" si="11"/>
        <v>38110719.462079674</v>
      </c>
    </row>
    <row r="64" spans="1:20" ht="12.75">
      <c r="A64" s="124">
        <v>58</v>
      </c>
      <c r="B64" s="404" t="s">
        <v>358</v>
      </c>
      <c r="C64" s="413">
        <f>'Table 3 Levels 1&amp;2'!AO65</f>
        <v>55535084.10668799</v>
      </c>
      <c r="D64" s="477">
        <f>'[13]Audit Adjs_09-10 BL_TOTAL'!E65</f>
        <v>0</v>
      </c>
      <c r="E64" s="477">
        <f>'[14]Audit Adjs - TOTAL'!F66</f>
        <v>-295228.2687934838</v>
      </c>
      <c r="F64" s="477">
        <f t="shared" si="4"/>
        <v>-295228.2687934838</v>
      </c>
      <c r="G64" s="413">
        <f t="shared" si="2"/>
        <v>0</v>
      </c>
      <c r="H64" s="477">
        <f t="shared" si="5"/>
        <v>-295228.2687934838</v>
      </c>
      <c r="I64" s="1035">
        <f t="shared" si="6"/>
        <v>55239856</v>
      </c>
      <c r="J64" s="1030">
        <f>-'[17]FY2009-10 MFP SFSF Funds'!$D62</f>
        <v>-1697611</v>
      </c>
      <c r="K64" s="1035">
        <f t="shared" si="7"/>
        <v>53542245</v>
      </c>
      <c r="L64" s="413">
        <f>'Dec Midyear Adjustment'!O63</f>
        <v>1561104.8129254559</v>
      </c>
      <c r="M64" s="477">
        <f>'March Midyear Adjustment'!M63</f>
        <v>0</v>
      </c>
      <c r="N64" s="413"/>
      <c r="O64" s="1035">
        <f t="shared" si="8"/>
        <v>55103349.81292546</v>
      </c>
      <c r="P64" s="413">
        <f>'[26]MFP'!BY60</f>
        <v>36552498</v>
      </c>
      <c r="Q64" s="413">
        <f t="shared" si="9"/>
        <v>18550851.812925458</v>
      </c>
      <c r="R64" s="413">
        <f t="shared" si="10"/>
        <v>4637713</v>
      </c>
      <c r="S64" s="413">
        <f>'Table 4A Stipends'!G61</f>
        <v>0</v>
      </c>
      <c r="T64" s="413">
        <f t="shared" si="11"/>
        <v>55103349.81292546</v>
      </c>
    </row>
    <row r="65" spans="1:20" ht="12.75">
      <c r="A65" s="124">
        <v>59</v>
      </c>
      <c r="B65" s="404" t="s">
        <v>359</v>
      </c>
      <c r="C65" s="413">
        <f>'Table 3 Levels 1&amp;2'!AO66</f>
        <v>34557223.612828</v>
      </c>
      <c r="D65" s="477">
        <f>'[13]Audit Adjs_09-10 BL_TOTAL'!E66</f>
        <v>0</v>
      </c>
      <c r="E65" s="477">
        <f>'[14]Audit Adjs - TOTAL'!F67</f>
        <v>-11568.998784933172</v>
      </c>
      <c r="F65" s="477">
        <f t="shared" si="4"/>
        <v>-11568.998784933172</v>
      </c>
      <c r="G65" s="413">
        <f t="shared" si="2"/>
        <v>0</v>
      </c>
      <c r="H65" s="477">
        <f t="shared" si="5"/>
        <v>-11568.998784933172</v>
      </c>
      <c r="I65" s="1035">
        <f t="shared" si="6"/>
        <v>34545655</v>
      </c>
      <c r="J65" s="1030">
        <f>-'[17]FY2009-10 MFP SFSF Funds'!$D63</f>
        <v>-1056354</v>
      </c>
      <c r="K65" s="1035">
        <f t="shared" si="7"/>
        <v>33489301</v>
      </c>
      <c r="L65" s="413">
        <f>'Dec Midyear Adjustment'!O64</f>
        <v>0</v>
      </c>
      <c r="M65" s="477">
        <f>'March Midyear Adjustment'!M64</f>
        <v>0</v>
      </c>
      <c r="N65" s="413"/>
      <c r="O65" s="1035">
        <f t="shared" si="8"/>
        <v>33489301</v>
      </c>
      <c r="P65" s="413">
        <f>'[26]MFP'!BY61</f>
        <v>22443575</v>
      </c>
      <c r="Q65" s="413">
        <f t="shared" si="9"/>
        <v>11045726</v>
      </c>
      <c r="R65" s="413">
        <f t="shared" si="10"/>
        <v>2761432</v>
      </c>
      <c r="S65" s="413">
        <f>'Table 4A Stipends'!G62</f>
        <v>0</v>
      </c>
      <c r="T65" s="413">
        <f t="shared" si="11"/>
        <v>33489301</v>
      </c>
    </row>
    <row r="66" spans="1:20" ht="12.75">
      <c r="A66" s="125">
        <v>60</v>
      </c>
      <c r="B66" s="405" t="s">
        <v>360</v>
      </c>
      <c r="C66" s="422">
        <f>'Table 3 Levels 1&amp;2'!AO67</f>
        <v>39224783.4641184</v>
      </c>
      <c r="D66" s="478">
        <f>'[13]Audit Adjs_09-10 BL_TOTAL'!E67</f>
        <v>0</v>
      </c>
      <c r="E66" s="478">
        <f>'[14]Audit Adjs - TOTAL'!F68</f>
        <v>-103845.20467989637</v>
      </c>
      <c r="F66" s="478">
        <f t="shared" si="4"/>
        <v>-103845.20467989637</v>
      </c>
      <c r="G66" s="422">
        <f t="shared" si="2"/>
        <v>0</v>
      </c>
      <c r="H66" s="478">
        <f t="shared" si="5"/>
        <v>-103845.20467989637</v>
      </c>
      <c r="I66" s="1036">
        <f t="shared" si="6"/>
        <v>39120938</v>
      </c>
      <c r="J66" s="1037">
        <f>-'[17]FY2009-10 MFP SFSF Funds'!$D64</f>
        <v>-1199034</v>
      </c>
      <c r="K66" s="1036">
        <f t="shared" si="7"/>
        <v>37921904</v>
      </c>
      <c r="L66" s="422">
        <f>'Dec Midyear Adjustment'!O65</f>
        <v>0</v>
      </c>
      <c r="M66" s="478">
        <f>'March Midyear Adjustment'!M65</f>
        <v>0</v>
      </c>
      <c r="N66" s="422"/>
      <c r="O66" s="1036">
        <f t="shared" si="8"/>
        <v>37921904</v>
      </c>
      <c r="P66" s="422">
        <f>'[26]MFP'!BY62</f>
        <v>25414494</v>
      </c>
      <c r="Q66" s="422">
        <f t="shared" si="9"/>
        <v>12507410</v>
      </c>
      <c r="R66" s="422">
        <f t="shared" si="10"/>
        <v>3126853</v>
      </c>
      <c r="S66" s="422">
        <f>'Table 4A Stipends'!G63</f>
        <v>0</v>
      </c>
      <c r="T66" s="422">
        <f t="shared" si="11"/>
        <v>37921904</v>
      </c>
    </row>
    <row r="67" spans="1:20" ht="12.75">
      <c r="A67" s="124">
        <v>61</v>
      </c>
      <c r="B67" s="404" t="s">
        <v>361</v>
      </c>
      <c r="C67" s="413">
        <f>'Table 3 Levels 1&amp;2'!AO68</f>
        <v>13417897.85348</v>
      </c>
      <c r="D67" s="477">
        <f>'[13]Audit Adjs_09-10 BL_TOTAL'!E68</f>
        <v>0</v>
      </c>
      <c r="E67" s="477">
        <f>'[14]Audit Adjs - TOTAL'!F69</f>
        <v>-128620.81320526465</v>
      </c>
      <c r="F67" s="477">
        <f t="shared" si="4"/>
        <v>-128620.81320526465</v>
      </c>
      <c r="G67" s="413">
        <f t="shared" si="2"/>
        <v>0</v>
      </c>
      <c r="H67" s="477">
        <f t="shared" si="5"/>
        <v>-128620.81320526465</v>
      </c>
      <c r="I67" s="1035">
        <f t="shared" si="6"/>
        <v>13289277</v>
      </c>
      <c r="J67" s="1030">
        <f>-'[17]FY2009-10 MFP SFSF Funds'!$D65</f>
        <v>-410162</v>
      </c>
      <c r="K67" s="1035">
        <f t="shared" si="7"/>
        <v>12879115</v>
      </c>
      <c r="L67" s="413">
        <f>'Dec Midyear Adjustment'!O66</f>
        <v>147194.02957050805</v>
      </c>
      <c r="M67" s="477">
        <f>'March Midyear Adjustment'!M66</f>
        <v>0</v>
      </c>
      <c r="N67" s="413"/>
      <c r="O67" s="1035">
        <f t="shared" si="8"/>
        <v>13026309.029570509</v>
      </c>
      <c r="P67" s="413">
        <f>'[26]MFP'!BY63</f>
        <v>8694734</v>
      </c>
      <c r="Q67" s="413">
        <f t="shared" si="9"/>
        <v>4331575.029570509</v>
      </c>
      <c r="R67" s="413">
        <f t="shared" si="10"/>
        <v>1082894</v>
      </c>
      <c r="S67" s="413">
        <f>'Table 4A Stipends'!G64</f>
        <v>0</v>
      </c>
      <c r="T67" s="413">
        <f t="shared" si="11"/>
        <v>13026309.029570509</v>
      </c>
    </row>
    <row r="68" spans="1:20" ht="12.75">
      <c r="A68" s="124">
        <v>62</v>
      </c>
      <c r="B68" s="404" t="s">
        <v>362</v>
      </c>
      <c r="C68" s="413">
        <f>'Table 3 Levels 1&amp;2'!AO69</f>
        <v>12883676.618015999</v>
      </c>
      <c r="D68" s="477">
        <f>'[13]Audit Adjs_09-10 BL_TOTAL'!E69</f>
        <v>0</v>
      </c>
      <c r="E68" s="477">
        <f>'[14]Audit Adjs - TOTAL'!F70</f>
        <v>0</v>
      </c>
      <c r="F68" s="477">
        <f t="shared" si="4"/>
        <v>0</v>
      </c>
      <c r="G68" s="413">
        <f t="shared" si="2"/>
        <v>0</v>
      </c>
      <c r="H68" s="477">
        <f t="shared" si="5"/>
        <v>0</v>
      </c>
      <c r="I68" s="1035">
        <f t="shared" si="6"/>
        <v>12883677</v>
      </c>
      <c r="J68" s="1030">
        <f>-'[17]FY2009-10 MFP SFSF Funds'!$D66</f>
        <v>-393832</v>
      </c>
      <c r="K68" s="1035">
        <f t="shared" si="7"/>
        <v>12489845</v>
      </c>
      <c r="L68" s="413">
        <f>'Dec Midyear Adjustment'!O67</f>
        <v>226136.63893102083</v>
      </c>
      <c r="M68" s="477">
        <f>'March Midyear Adjustment'!M67</f>
        <v>0</v>
      </c>
      <c r="N68" s="413"/>
      <c r="O68" s="1035">
        <f t="shared" si="8"/>
        <v>12715981.638931021</v>
      </c>
      <c r="P68" s="413">
        <f>'[26]MFP'!BY64</f>
        <v>8467240</v>
      </c>
      <c r="Q68" s="413">
        <f t="shared" si="9"/>
        <v>4248741.638931021</v>
      </c>
      <c r="R68" s="413">
        <f t="shared" si="10"/>
        <v>1062185</v>
      </c>
      <c r="S68" s="413">
        <f>'Table 4A Stipends'!G65</f>
        <v>0</v>
      </c>
      <c r="T68" s="413">
        <f t="shared" si="11"/>
        <v>12715981.638931021</v>
      </c>
    </row>
    <row r="69" spans="1:20" ht="12.75">
      <c r="A69" s="124">
        <v>63</v>
      </c>
      <c r="B69" s="404" t="s">
        <v>363</v>
      </c>
      <c r="C69" s="413">
        <f>'Table 3 Levels 1&amp;2'!AO70</f>
        <v>11313293.8940304</v>
      </c>
      <c r="D69" s="477">
        <f>'[13]Audit Adjs_09-10 BL_TOTAL'!E70</f>
        <v>0</v>
      </c>
      <c r="E69" s="477">
        <f>'[14]Audit Adjs - TOTAL'!F71</f>
        <v>0</v>
      </c>
      <c r="F69" s="477">
        <f t="shared" si="4"/>
        <v>0</v>
      </c>
      <c r="G69" s="413">
        <f t="shared" si="2"/>
        <v>0</v>
      </c>
      <c r="H69" s="477">
        <f t="shared" si="5"/>
        <v>0</v>
      </c>
      <c r="I69" s="1035">
        <f t="shared" si="6"/>
        <v>11313294</v>
      </c>
      <c r="J69" s="1030">
        <f>-'[17]FY2009-10 MFP SFSF Funds'!$D67</f>
        <v>-345828</v>
      </c>
      <c r="K69" s="1035">
        <f t="shared" si="7"/>
        <v>10967466</v>
      </c>
      <c r="L69" s="413">
        <f>'Dec Midyear Adjustment'!O68</f>
        <v>0</v>
      </c>
      <c r="M69" s="477">
        <f>'March Midyear Adjustment'!M68</f>
        <v>0</v>
      </c>
      <c r="N69" s="413"/>
      <c r="O69" s="1035">
        <f t="shared" si="8"/>
        <v>10967466</v>
      </c>
      <c r="P69" s="413">
        <f>'[26]MFP'!BY65</f>
        <v>7350070</v>
      </c>
      <c r="Q69" s="413">
        <f t="shared" si="9"/>
        <v>3617396</v>
      </c>
      <c r="R69" s="413">
        <f t="shared" si="10"/>
        <v>904349</v>
      </c>
      <c r="S69" s="413">
        <f>'Table 4A Stipends'!G66</f>
        <v>0</v>
      </c>
      <c r="T69" s="413">
        <f t="shared" si="11"/>
        <v>10967466</v>
      </c>
    </row>
    <row r="70" spans="1:20" ht="12.75">
      <c r="A70" s="124">
        <v>64</v>
      </c>
      <c r="B70" s="404" t="s">
        <v>364</v>
      </c>
      <c r="C70" s="413">
        <f>'Table 3 Levels 1&amp;2'!AO71</f>
        <v>15507303.072395999</v>
      </c>
      <c r="D70" s="477">
        <f>'[13]Audit Adjs_09-10 BL_TOTAL'!E71</f>
        <v>0</v>
      </c>
      <c r="E70" s="477">
        <f>'[14]Audit Adjs - TOTAL'!F72</f>
        <v>-10448.143683308357</v>
      </c>
      <c r="F70" s="477">
        <f t="shared" si="4"/>
        <v>-10448.143683308357</v>
      </c>
      <c r="G70" s="413">
        <f t="shared" si="2"/>
        <v>0</v>
      </c>
      <c r="H70" s="477">
        <f t="shared" si="5"/>
        <v>-10448.143683308357</v>
      </c>
      <c r="I70" s="1035">
        <f t="shared" si="6"/>
        <v>15496855</v>
      </c>
      <c r="J70" s="1030">
        <f>-'[17]FY2009-10 MFP SFSF Funds'!$D68</f>
        <v>-474031</v>
      </c>
      <c r="K70" s="1035">
        <f t="shared" si="7"/>
        <v>15022824</v>
      </c>
      <c r="L70" s="413">
        <f>'Dec Midyear Adjustment'!O69</f>
        <v>0</v>
      </c>
      <c r="M70" s="477">
        <f>'March Midyear Adjustment'!M69</f>
        <v>0</v>
      </c>
      <c r="N70" s="413"/>
      <c r="O70" s="1035">
        <f t="shared" si="8"/>
        <v>15022824</v>
      </c>
      <c r="P70" s="413">
        <f>'[26]MFP'!BY66</f>
        <v>10067887</v>
      </c>
      <c r="Q70" s="413">
        <f t="shared" si="9"/>
        <v>4954937</v>
      </c>
      <c r="R70" s="413">
        <f t="shared" si="10"/>
        <v>1238734</v>
      </c>
      <c r="S70" s="413">
        <f>'Table 4A Stipends'!G67</f>
        <v>0</v>
      </c>
      <c r="T70" s="413">
        <f t="shared" si="11"/>
        <v>15022824</v>
      </c>
    </row>
    <row r="71" spans="1:20" ht="12.75">
      <c r="A71" s="125">
        <v>65</v>
      </c>
      <c r="B71" s="405" t="s">
        <v>365</v>
      </c>
      <c r="C71" s="422">
        <f>'Table 3 Levels 1&amp;2'!AO72</f>
        <v>42726762.218498</v>
      </c>
      <c r="D71" s="478">
        <f>'[13]Audit Adjs_09-10 BL_TOTAL'!E72</f>
        <v>0</v>
      </c>
      <c r="E71" s="478">
        <f>'[14]Audit Adjs - TOTAL'!F73</f>
        <v>-65745.97607833898</v>
      </c>
      <c r="F71" s="478">
        <f t="shared" si="4"/>
        <v>-65745.97607833898</v>
      </c>
      <c r="G71" s="422">
        <f>IF(F71&gt;0,F71,0)</f>
        <v>0</v>
      </c>
      <c r="H71" s="478">
        <f t="shared" si="5"/>
        <v>-65745.97607833898</v>
      </c>
      <c r="I71" s="1036">
        <f t="shared" si="6"/>
        <v>42661016</v>
      </c>
      <c r="J71" s="1037">
        <f>-'[17]FY2009-10 MFP SFSF Funds'!$D69</f>
        <v>-1306083</v>
      </c>
      <c r="K71" s="1036">
        <f t="shared" si="7"/>
        <v>41354933</v>
      </c>
      <c r="L71" s="422">
        <f>'Dec Midyear Adjustment'!O70</f>
        <v>0</v>
      </c>
      <c r="M71" s="478">
        <f>'March Midyear Adjustment'!M70</f>
        <v>131189.9381784105</v>
      </c>
      <c r="N71" s="422"/>
      <c r="O71" s="1036">
        <f t="shared" si="8"/>
        <v>41486122.93817841</v>
      </c>
      <c r="P71" s="422">
        <f>'[26]MFP'!BY67</f>
        <v>27715075</v>
      </c>
      <c r="Q71" s="422">
        <f t="shared" si="9"/>
        <v>13771047.938178413</v>
      </c>
      <c r="R71" s="422">
        <f t="shared" si="10"/>
        <v>3442762</v>
      </c>
      <c r="S71" s="422">
        <f>'Table 4A Stipends'!G68</f>
        <v>0</v>
      </c>
      <c r="T71" s="422">
        <f>O71+S71</f>
        <v>41486122.93817841</v>
      </c>
    </row>
    <row r="72" spans="1:20" ht="12.75">
      <c r="A72" s="165">
        <v>66</v>
      </c>
      <c r="B72" s="406" t="s">
        <v>366</v>
      </c>
      <c r="C72" s="415">
        <f>'Table 3 Levels 1&amp;2'!AO73</f>
        <v>14007222.275200002</v>
      </c>
      <c r="D72" s="479">
        <f>'[13]Audit Adjs_09-10 BL_TOTAL'!E73</f>
        <v>0</v>
      </c>
      <c r="E72" s="479">
        <f>'[14]Audit Adjs - TOTAL'!F74</f>
        <v>0</v>
      </c>
      <c r="F72" s="479">
        <f>SUM(D72:E72)</f>
        <v>0</v>
      </c>
      <c r="G72" s="415">
        <f>IF(F72&gt;0,F72,0)</f>
        <v>0</v>
      </c>
      <c r="H72" s="479">
        <f>IF(F72&lt;0,F72,0)</f>
        <v>0</v>
      </c>
      <c r="I72" s="1035">
        <f>ROUND(C72+F72,0)</f>
        <v>14007222</v>
      </c>
      <c r="J72" s="1030">
        <f>-'[17]FY2009-10 MFP SFSF Funds'!$D70</f>
        <v>-428177</v>
      </c>
      <c r="K72" s="1035">
        <f>I72+J72</f>
        <v>13579045</v>
      </c>
      <c r="L72" s="413">
        <f>'Dec Midyear Adjustment'!O71</f>
        <v>0</v>
      </c>
      <c r="M72" s="477">
        <f>'March Midyear Adjustment'!M71</f>
        <v>0</v>
      </c>
      <c r="N72" s="415"/>
      <c r="O72" s="1035">
        <f>K72+L72+M72+N72</f>
        <v>13579045</v>
      </c>
      <c r="P72" s="415">
        <f>'[26]MFP'!BY68</f>
        <v>9100272</v>
      </c>
      <c r="Q72" s="415">
        <f>O72-P72</f>
        <v>4478773</v>
      </c>
      <c r="R72" s="415">
        <f>ROUND(Q72/4,0)</f>
        <v>1119693</v>
      </c>
      <c r="S72" s="415">
        <f>'Table 4A Stipends'!G69</f>
        <v>0</v>
      </c>
      <c r="T72" s="415">
        <f>O72+S72</f>
        <v>13579045</v>
      </c>
    </row>
    <row r="73" spans="1:20" ht="12.75">
      <c r="A73" s="469">
        <v>67</v>
      </c>
      <c r="B73" s="407" t="s">
        <v>135</v>
      </c>
      <c r="C73" s="413">
        <f>'Table 3 Levels 1&amp;2'!AO74</f>
        <v>25806694.971678004</v>
      </c>
      <c r="D73" s="477">
        <f>'[13]Audit Adjs_09-10 BL_TOTAL'!E74</f>
        <v>0</v>
      </c>
      <c r="E73" s="477">
        <f>'[14]Audit Adjs - TOTAL'!F75</f>
        <v>0</v>
      </c>
      <c r="F73" s="477">
        <f>SUM(D73:E73)</f>
        <v>0</v>
      </c>
      <c r="G73" s="413">
        <f>IF(F73&gt;0,F73,0)</f>
        <v>0</v>
      </c>
      <c r="H73" s="477">
        <f>IF(F73&lt;0,F73,0)</f>
        <v>0</v>
      </c>
      <c r="I73" s="1035">
        <f>ROUND(C73+F73,0)</f>
        <v>25806695</v>
      </c>
      <c r="J73" s="1030">
        <f>-'[17]FY2009-10 MFP SFSF Funds'!$D71</f>
        <v>-788866</v>
      </c>
      <c r="K73" s="1035">
        <f>I73+J73</f>
        <v>25017829</v>
      </c>
      <c r="L73" s="413">
        <f>'Dec Midyear Adjustment'!O72</f>
        <v>1529200.4594489525</v>
      </c>
      <c r="M73" s="477">
        <f>'March Midyear Adjustment'!M72</f>
        <v>0</v>
      </c>
      <c r="N73" s="413"/>
      <c r="O73" s="1035">
        <f>K73+L73+M73+N73</f>
        <v>26547029.459448952</v>
      </c>
      <c r="P73" s="413">
        <f>'[26]MFP'!BY69</f>
        <v>17421575</v>
      </c>
      <c r="Q73" s="413">
        <f>O73-P73</f>
        <v>9125454.459448952</v>
      </c>
      <c r="R73" s="413">
        <f>ROUND(Q73/4,0)</f>
        <v>2281364</v>
      </c>
      <c r="S73" s="413">
        <f>'Table 4A Stipends'!G70</f>
        <v>0</v>
      </c>
      <c r="T73" s="413">
        <f>O73+S73</f>
        <v>26547029.459448952</v>
      </c>
    </row>
    <row r="74" spans="1:20" ht="12.75">
      <c r="A74" s="124">
        <v>68</v>
      </c>
      <c r="B74" s="404" t="s">
        <v>132</v>
      </c>
      <c r="C74" s="413">
        <f>'Table 3 Levels 1&amp;2'!AO75</f>
        <v>12494261.957580801</v>
      </c>
      <c r="D74" s="477">
        <f>'[13]Audit Adjs_09-10 BL_TOTAL'!E75</f>
        <v>0</v>
      </c>
      <c r="E74" s="477">
        <f>'[14]Audit Adjs - TOTAL'!F76</f>
        <v>-40773.86056144325</v>
      </c>
      <c r="F74" s="477">
        <f>SUM(D74:E74)</f>
        <v>-40773.86056144325</v>
      </c>
      <c r="G74" s="413">
        <f>IF(F74&gt;0,F74,0)</f>
        <v>0</v>
      </c>
      <c r="H74" s="477">
        <f>IF(F74&lt;0,F74,0)</f>
        <v>-40773.86056144325</v>
      </c>
      <c r="I74" s="1035">
        <f>ROUND(C74+F74,0)</f>
        <v>12453488</v>
      </c>
      <c r="J74" s="1030">
        <f>-'[17]FY2009-10 MFP SFSF Funds'!$D72</f>
        <v>-381928</v>
      </c>
      <c r="K74" s="1035">
        <f>I74+J74</f>
        <v>12071560</v>
      </c>
      <c r="L74" s="413">
        <f>'Dec Midyear Adjustment'!O73</f>
        <v>639849.3183122326</v>
      </c>
      <c r="M74" s="477">
        <f>'March Midyear Adjustment'!M73</f>
        <v>0</v>
      </c>
      <c r="N74" s="413"/>
      <c r="O74" s="1035">
        <f>K74+L74+M74+N74</f>
        <v>12711409.318312233</v>
      </c>
      <c r="P74" s="413">
        <f>'[26]MFP'!BY70</f>
        <v>8364364</v>
      </c>
      <c r="Q74" s="413">
        <f>O74-P74</f>
        <v>4347045.318312233</v>
      </c>
      <c r="R74" s="413">
        <f>ROUND(Q74/4,0)</f>
        <v>1086761</v>
      </c>
      <c r="S74" s="413">
        <f>'Table 4A Stipends'!G71</f>
        <v>0</v>
      </c>
      <c r="T74" s="413">
        <f>O74+S74</f>
        <v>12711409.318312233</v>
      </c>
    </row>
    <row r="75" spans="1:20" ht="12.75">
      <c r="A75" s="125">
        <v>69</v>
      </c>
      <c r="B75" s="405" t="s">
        <v>447</v>
      </c>
      <c r="C75" s="422">
        <f>'Table 3 Levels 1&amp;2'!AO76</f>
        <v>19115279.676736</v>
      </c>
      <c r="D75" s="478">
        <f>'[13]Audit Adjs_09-10 BL_TOTAL'!E76</f>
        <v>0</v>
      </c>
      <c r="E75" s="478">
        <f>'[14]Audit Adjs - TOTAL'!F77</f>
        <v>-22083.190364110003</v>
      </c>
      <c r="F75" s="478">
        <f>SUM(D75:E75)</f>
        <v>-22083.190364110003</v>
      </c>
      <c r="G75" s="422">
        <f>IF(F75&gt;0,F75,0)</f>
        <v>0</v>
      </c>
      <c r="H75" s="478">
        <f>IF(F75&lt;0,F75,0)</f>
        <v>-22083.190364110003</v>
      </c>
      <c r="I75" s="1035">
        <f>ROUND(C75+F75,0)</f>
        <v>19093196</v>
      </c>
      <c r="J75" s="1030">
        <f>-'[17]FY2009-10 MFP SFSF Funds'!$D73</f>
        <v>-584321</v>
      </c>
      <c r="K75" s="1035">
        <f>I75+J75</f>
        <v>18508875</v>
      </c>
      <c r="L75" s="413">
        <f>'Dec Midyear Adjustment'!O74</f>
        <v>1075166.9462042013</v>
      </c>
      <c r="M75" s="477">
        <f>'March Midyear Adjustment'!M74</f>
        <v>0</v>
      </c>
      <c r="N75" s="422"/>
      <c r="O75" s="1035">
        <f>K75+L75+M75+N75</f>
        <v>19584041.9462042</v>
      </c>
      <c r="P75" s="422">
        <f>'[26]MFP'!BY71</f>
        <v>12864960</v>
      </c>
      <c r="Q75" s="422">
        <f>O75-P75</f>
        <v>6719081.9462042</v>
      </c>
      <c r="R75" s="422">
        <f>ROUND(Q75/4,0)</f>
        <v>1679770</v>
      </c>
      <c r="S75" s="422">
        <f>'Table 4A Stipends'!G72</f>
        <v>0</v>
      </c>
      <c r="T75" s="422">
        <f>O75+S75</f>
        <v>19584041.9462042</v>
      </c>
    </row>
    <row r="76" spans="1:20" ht="13.5" thickBot="1">
      <c r="A76" s="581"/>
      <c r="B76" s="582" t="s">
        <v>367</v>
      </c>
      <c r="C76" s="606">
        <f aca="true" t="shared" si="12" ref="C76:T76">SUM(C7:C75)</f>
        <v>3271795892.984205</v>
      </c>
      <c r="D76" s="606">
        <f t="shared" si="12"/>
        <v>-181296</v>
      </c>
      <c r="E76" s="606">
        <f t="shared" si="12"/>
        <v>-5262180.872327937</v>
      </c>
      <c r="F76" s="606">
        <f t="shared" si="12"/>
        <v>-5443476.872327937</v>
      </c>
      <c r="G76" s="606">
        <f t="shared" si="12"/>
        <v>128431.99971827412</v>
      </c>
      <c r="H76" s="606">
        <f t="shared" si="12"/>
        <v>-5571908.872046211</v>
      </c>
      <c r="I76" s="590">
        <f t="shared" si="12"/>
        <v>3266352415</v>
      </c>
      <c r="J76" s="1028">
        <f t="shared" si="12"/>
        <v>-99991611</v>
      </c>
      <c r="K76" s="590">
        <f t="shared" si="12"/>
        <v>3166360804</v>
      </c>
      <c r="L76" s="606">
        <f t="shared" si="12"/>
        <v>51423541.432082705</v>
      </c>
      <c r="M76" s="606">
        <f t="shared" si="12"/>
        <v>1264491.5330243243</v>
      </c>
      <c r="N76" s="606">
        <f>SUM(N7:N75)</f>
        <v>-111305666.76434135</v>
      </c>
      <c r="O76" s="590">
        <f t="shared" si="12"/>
        <v>3107743170.2007656</v>
      </c>
      <c r="P76" s="1027">
        <f t="shared" si="12"/>
        <v>2071515392</v>
      </c>
      <c r="Q76" s="1027">
        <f t="shared" si="12"/>
        <v>1036227778.2007657</v>
      </c>
      <c r="R76" s="606">
        <f t="shared" si="12"/>
        <v>259056945</v>
      </c>
      <c r="S76" s="590">
        <f t="shared" si="12"/>
        <v>846000</v>
      </c>
      <c r="T76" s="606">
        <f t="shared" si="12"/>
        <v>3108589170.2007656</v>
      </c>
    </row>
    <row r="77" spans="6:20" ht="13.5" hidden="1" thickTop="1">
      <c r="F77" s="59">
        <f>SUM(D76:E76)</f>
        <v>-5443476.872327937</v>
      </c>
      <c r="I77" s="119"/>
      <c r="J77" s="119"/>
      <c r="K77" s="119"/>
      <c r="L77" s="119"/>
      <c r="M77" s="119"/>
      <c r="N77" s="119"/>
      <c r="O77" s="119"/>
      <c r="P77" s="119"/>
      <c r="Q77" s="119"/>
      <c r="T77" s="119"/>
    </row>
    <row r="78" ht="13.5" thickTop="1"/>
    <row r="79" spans="9:20" ht="12.75">
      <c r="I79" s="59"/>
      <c r="J79" s="59"/>
      <c r="K79" s="59"/>
      <c r="L79" s="59"/>
      <c r="N79" s="59"/>
      <c r="O79" s="59"/>
      <c r="P79" s="59"/>
      <c r="Q79" s="59"/>
      <c r="T79" s="59"/>
    </row>
  </sheetData>
  <sheetProtection/>
  <mergeCells count="23">
    <mergeCell ref="D2:D5"/>
    <mergeCell ref="D1:H1"/>
    <mergeCell ref="N2:N5"/>
    <mergeCell ref="I2:I5"/>
    <mergeCell ref="P2:P5"/>
    <mergeCell ref="F2:F5"/>
    <mergeCell ref="Q2:Q5"/>
    <mergeCell ref="O2:O5"/>
    <mergeCell ref="E2:E5"/>
    <mergeCell ref="J2:J5"/>
    <mergeCell ref="K2:K5"/>
    <mergeCell ref="L2:L5"/>
    <mergeCell ref="M2:M5"/>
    <mergeCell ref="B2:B5"/>
    <mergeCell ref="U42:Z44"/>
    <mergeCell ref="T2:T5"/>
    <mergeCell ref="S2:S5"/>
    <mergeCell ref="A2:A5"/>
    <mergeCell ref="G2:H3"/>
    <mergeCell ref="G4:G5"/>
    <mergeCell ref="H4:H5"/>
    <mergeCell ref="C2:C5"/>
    <mergeCell ref="R2:R5"/>
  </mergeCells>
  <printOptions horizontalCentered="1"/>
  <pageMargins left="0.25" right="0.2" top="1.14" bottom="0.49" header="0.5" footer="0.25"/>
  <pageSetup firstPageNumber="2" useFirstPageNumber="1" fitToWidth="12" horizontalDpi="600" verticalDpi="600" orientation="portrait" paperSize="5" scale="87" r:id="rId1"/>
  <headerFooter alignWithMargins="0">
    <oddHeader>&amp;L&amp;"Arial,Bold"&amp;18Table 2:  FY2009-2010 Budget Letter &amp;"Arial,Regular"&amp;10
&amp;"Arial,Bold"&amp;18Distribution and Adjustments (March 2010)</oddHeader>
    <oddFooter>&amp;R&amp;12&amp;P</oddFooter>
  </headerFooter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80" zoomScaleNormal="70" zoomScaleSheetLayoutView="80" zoomScalePageLayoutView="0" workbookViewId="0" topLeftCell="A1">
      <pane xSplit="1" ySplit="5" topLeftCell="H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8" sqref="A78:IV78"/>
    </sheetView>
  </sheetViews>
  <sheetFormatPr defaultColWidth="9.140625" defaultRowHeight="12.75"/>
  <cols>
    <col min="1" max="1" width="18.7109375" style="0" bestFit="1" customWidth="1"/>
    <col min="2" max="2" width="17.00390625" style="0" bestFit="1" customWidth="1"/>
    <col min="3" max="4" width="14.421875" style="0" customWidth="1"/>
    <col min="5" max="5" width="14.140625" style="0" customWidth="1"/>
    <col min="6" max="6" width="13.140625" style="0" customWidth="1"/>
    <col min="7" max="7" width="12.8515625" style="0" customWidth="1"/>
    <col min="8" max="8" width="18.57421875" style="0" customWidth="1"/>
    <col min="9" max="9" width="12.8515625" style="0" customWidth="1"/>
    <col min="10" max="10" width="18.00390625" style="0" bestFit="1" customWidth="1"/>
    <col min="11" max="11" width="1.1484375" style="0" customWidth="1"/>
    <col min="16" max="16" width="9.140625" style="59" customWidth="1"/>
    <col min="25" max="25" width="9.140625" style="55" customWidth="1"/>
  </cols>
  <sheetData>
    <row r="1" spans="11:25" ht="12.75">
      <c r="K1" s="55"/>
      <c r="P1"/>
      <c r="Y1"/>
    </row>
    <row r="2" spans="1:25" ht="12.75" customHeight="1">
      <c r="A2" s="1301" t="s">
        <v>630</v>
      </c>
      <c r="B2" s="1306" t="s">
        <v>935</v>
      </c>
      <c r="C2" s="1312" t="s">
        <v>932</v>
      </c>
      <c r="D2" s="1312" t="s">
        <v>930</v>
      </c>
      <c r="E2" s="1312" t="s">
        <v>931</v>
      </c>
      <c r="F2" s="1312" t="s">
        <v>928</v>
      </c>
      <c r="G2" s="1312" t="s">
        <v>929</v>
      </c>
      <c r="H2" s="1328" t="s">
        <v>920</v>
      </c>
      <c r="I2" s="1312" t="s">
        <v>934</v>
      </c>
      <c r="J2" s="1328" t="s">
        <v>921</v>
      </c>
      <c r="K2" s="55"/>
      <c r="P2"/>
      <c r="Y2"/>
    </row>
    <row r="3" spans="1:25" ht="12.75">
      <c r="A3" s="1302"/>
      <c r="B3" s="1306"/>
      <c r="C3" s="1313"/>
      <c r="D3" s="1313"/>
      <c r="E3" s="1313"/>
      <c r="F3" s="1313"/>
      <c r="G3" s="1313"/>
      <c r="H3" s="1329"/>
      <c r="I3" s="1313"/>
      <c r="J3" s="1329"/>
      <c r="K3" s="55"/>
      <c r="P3"/>
      <c r="Y3"/>
    </row>
    <row r="4" spans="1:25" ht="24" customHeight="1">
      <c r="A4" s="1302"/>
      <c r="B4" s="1306"/>
      <c r="C4" s="1313"/>
      <c r="D4" s="1313"/>
      <c r="E4" s="1313"/>
      <c r="F4" s="1313"/>
      <c r="G4" s="1313"/>
      <c r="H4" s="1329"/>
      <c r="I4" s="1313"/>
      <c r="J4" s="1329"/>
      <c r="K4" s="1192"/>
      <c r="P4"/>
      <c r="Y4"/>
    </row>
    <row r="5" spans="1:25" ht="109.5" customHeight="1">
      <c r="A5" s="1303"/>
      <c r="B5" s="1306"/>
      <c r="C5" s="1314"/>
      <c r="D5" s="1314"/>
      <c r="E5" s="1314"/>
      <c r="F5" s="1314"/>
      <c r="G5" s="1314"/>
      <c r="H5" s="1330"/>
      <c r="I5" s="1314"/>
      <c r="J5" s="1330"/>
      <c r="K5" s="1192"/>
      <c r="P5"/>
      <c r="Y5"/>
    </row>
    <row r="6" spans="1:11" s="1173" customFormat="1" ht="12.75">
      <c r="A6" s="1171"/>
      <c r="B6" s="1172">
        <v>1</v>
      </c>
      <c r="C6" s="1172">
        <f aca="true" t="shared" si="0" ref="C6:H6">B6+1</f>
        <v>2</v>
      </c>
      <c r="D6" s="1172">
        <f t="shared" si="0"/>
        <v>3</v>
      </c>
      <c r="E6" s="1172">
        <f t="shared" si="0"/>
        <v>4</v>
      </c>
      <c r="F6" s="1172">
        <f t="shared" si="0"/>
        <v>5</v>
      </c>
      <c r="G6" s="1172">
        <f t="shared" si="0"/>
        <v>6</v>
      </c>
      <c r="H6" s="1172">
        <f t="shared" si="0"/>
        <v>7</v>
      </c>
      <c r="I6" s="1172">
        <f>H6+1</f>
        <v>8</v>
      </c>
      <c r="J6" s="1172">
        <v>9</v>
      </c>
      <c r="K6" s="1172">
        <f>J6+1</f>
        <v>10</v>
      </c>
    </row>
    <row r="7" spans="1:25" ht="12.75">
      <c r="A7" s="404" t="s">
        <v>302</v>
      </c>
      <c r="B7" s="413">
        <f>'[29]Table 2 Distributions &amp; Adjust'!R7</f>
        <v>4053081</v>
      </c>
      <c r="C7" s="477"/>
      <c r="D7" s="477"/>
      <c r="E7" s="477"/>
      <c r="F7" s="477"/>
      <c r="G7" s="477"/>
      <c r="H7" s="1243">
        <f aca="true" t="shared" si="1" ref="H7:H70">SUM(B7:G7)</f>
        <v>4053081</v>
      </c>
      <c r="I7" s="477"/>
      <c r="J7" s="1243">
        <f aca="true" t="shared" si="2" ref="J7:J38">SUM(H7:I7)</f>
        <v>4053081</v>
      </c>
      <c r="K7" s="55"/>
      <c r="P7"/>
      <c r="Y7"/>
    </row>
    <row r="8" spans="1:25" ht="12.75">
      <c r="A8" s="404" t="s">
        <v>303</v>
      </c>
      <c r="B8" s="413">
        <f>'[29]Table 2 Distributions &amp; Adjust'!R8</f>
        <v>2172452</v>
      </c>
      <c r="C8" s="477"/>
      <c r="D8" s="477"/>
      <c r="E8" s="477"/>
      <c r="F8" s="477"/>
      <c r="G8" s="477"/>
      <c r="H8" s="1243">
        <f t="shared" si="1"/>
        <v>2172452</v>
      </c>
      <c r="I8" s="477"/>
      <c r="J8" s="1243">
        <f t="shared" si="2"/>
        <v>2172452</v>
      </c>
      <c r="K8" s="55"/>
      <c r="P8"/>
      <c r="Y8"/>
    </row>
    <row r="9" spans="1:25" ht="12.75">
      <c r="A9" s="404" t="s">
        <v>304</v>
      </c>
      <c r="B9" s="413">
        <f>'[29]Table 2 Distributions &amp; Adjust'!R9</f>
        <v>7316425</v>
      </c>
      <c r="C9" s="477"/>
      <c r="D9" s="477"/>
      <c r="E9" s="477"/>
      <c r="F9" s="477"/>
      <c r="G9" s="477"/>
      <c r="H9" s="1243">
        <f t="shared" si="1"/>
        <v>7316425</v>
      </c>
      <c r="I9" s="477"/>
      <c r="J9" s="1243">
        <f t="shared" si="2"/>
        <v>7316425</v>
      </c>
      <c r="K9" s="55"/>
      <c r="P9"/>
      <c r="Y9"/>
    </row>
    <row r="10" spans="1:25" ht="12.75">
      <c r="A10" s="404" t="s">
        <v>305</v>
      </c>
      <c r="B10" s="413">
        <f>'[29]Table 2 Distributions &amp; Adjust'!R10</f>
        <v>1987801</v>
      </c>
      <c r="C10" s="477"/>
      <c r="D10" s="477"/>
      <c r="E10" s="477"/>
      <c r="F10" s="477"/>
      <c r="G10" s="477"/>
      <c r="H10" s="1243">
        <f t="shared" si="1"/>
        <v>1987801</v>
      </c>
      <c r="I10" s="477"/>
      <c r="J10" s="1243">
        <f t="shared" si="2"/>
        <v>1987801</v>
      </c>
      <c r="K10" s="55"/>
      <c r="P10"/>
      <c r="Y10"/>
    </row>
    <row r="11" spans="1:25" ht="12.75">
      <c r="A11" s="405" t="s">
        <v>306</v>
      </c>
      <c r="B11" s="422">
        <f>'[29]Table 2 Distributions &amp; Adjust'!R11</f>
        <v>2598720</v>
      </c>
      <c r="C11" s="478"/>
      <c r="D11" s="478"/>
      <c r="E11" s="478"/>
      <c r="F11" s="478"/>
      <c r="G11" s="478"/>
      <c r="H11" s="1244">
        <f t="shared" si="1"/>
        <v>2598720</v>
      </c>
      <c r="I11" s="478"/>
      <c r="J11" s="1244">
        <f t="shared" si="2"/>
        <v>2598720</v>
      </c>
      <c r="K11" s="55"/>
      <c r="P11"/>
      <c r="Y11"/>
    </row>
    <row r="12" spans="1:25" ht="12.75">
      <c r="A12" s="404" t="s">
        <v>307</v>
      </c>
      <c r="B12" s="413">
        <f>'[29]Table 2 Distributions &amp; Adjust'!R12</f>
        <v>2848005</v>
      </c>
      <c r="C12" s="477"/>
      <c r="D12" s="477"/>
      <c r="E12" s="477"/>
      <c r="F12" s="477"/>
      <c r="G12" s="477"/>
      <c r="H12" s="1243">
        <f t="shared" si="1"/>
        <v>2848005</v>
      </c>
      <c r="I12" s="477"/>
      <c r="J12" s="1243">
        <f t="shared" si="2"/>
        <v>2848005</v>
      </c>
      <c r="K12" s="55"/>
      <c r="P12"/>
      <c r="Y12"/>
    </row>
    <row r="13" spans="1:25" ht="12.75">
      <c r="A13" s="404" t="s">
        <v>308</v>
      </c>
      <c r="B13" s="413">
        <f>'[29]Table 2 Distributions &amp; Adjust'!R13</f>
        <v>607206</v>
      </c>
      <c r="C13" s="477"/>
      <c r="D13" s="477"/>
      <c r="E13" s="477"/>
      <c r="F13" s="477"/>
      <c r="G13" s="477"/>
      <c r="H13" s="1243">
        <f t="shared" si="1"/>
        <v>607206</v>
      </c>
      <c r="I13" s="477"/>
      <c r="J13" s="1243">
        <f t="shared" si="2"/>
        <v>607206</v>
      </c>
      <c r="K13" s="55"/>
      <c r="P13"/>
      <c r="Y13"/>
    </row>
    <row r="14" spans="1:25" ht="12.75">
      <c r="A14" s="404" t="s">
        <v>309</v>
      </c>
      <c r="B14" s="413">
        <f>'[29]Table 2 Distributions &amp; Adjust'!R14</f>
        <v>8158866</v>
      </c>
      <c r="C14" s="477"/>
      <c r="D14" s="477"/>
      <c r="E14" s="477"/>
      <c r="F14" s="477"/>
      <c r="G14" s="477"/>
      <c r="H14" s="1243">
        <f t="shared" si="1"/>
        <v>8158866</v>
      </c>
      <c r="I14" s="477"/>
      <c r="J14" s="1243">
        <f t="shared" si="2"/>
        <v>8158866</v>
      </c>
      <c r="K14" s="55"/>
      <c r="P14"/>
      <c r="Y14"/>
    </row>
    <row r="15" spans="1:25" ht="12.75">
      <c r="A15" s="404" t="s">
        <v>310</v>
      </c>
      <c r="B15" s="413">
        <f>'[29]Table 2 Distributions &amp; Adjust'!R15</f>
        <v>17366437</v>
      </c>
      <c r="C15" s="477">
        <f>-'[30]March Allocation'!$AY$21</f>
        <v>-247214.62646437497</v>
      </c>
      <c r="D15" s="477"/>
      <c r="E15" s="477"/>
      <c r="F15" s="477"/>
      <c r="G15" s="477"/>
      <c r="H15" s="1243">
        <f t="shared" si="1"/>
        <v>17119222.373535626</v>
      </c>
      <c r="I15" s="477"/>
      <c r="J15" s="1243">
        <f t="shared" si="2"/>
        <v>17119222.373535626</v>
      </c>
      <c r="K15" s="55"/>
      <c r="P15"/>
      <c r="Y15"/>
    </row>
    <row r="16" spans="1:25" ht="12.75">
      <c r="A16" s="405" t="s">
        <v>311</v>
      </c>
      <c r="B16" s="422">
        <f>'[29]Table 2 Distributions &amp; Adjust'!R16</f>
        <v>12026274</v>
      </c>
      <c r="C16" s="478"/>
      <c r="D16" s="478"/>
      <c r="E16" s="478"/>
      <c r="F16" s="478"/>
      <c r="G16" s="478"/>
      <c r="H16" s="1244">
        <f t="shared" si="1"/>
        <v>12026274</v>
      </c>
      <c r="I16" s="478"/>
      <c r="J16" s="1244">
        <f t="shared" si="2"/>
        <v>12026274</v>
      </c>
      <c r="K16" s="55"/>
      <c r="P16"/>
      <c r="Y16"/>
    </row>
    <row r="17" spans="1:25" ht="12.75">
      <c r="A17" s="404" t="s">
        <v>312</v>
      </c>
      <c r="B17" s="413">
        <f>'[29]Table 2 Distributions &amp; Adjust'!R17</f>
        <v>864082</v>
      </c>
      <c r="C17" s="477"/>
      <c r="D17" s="477"/>
      <c r="E17" s="477"/>
      <c r="F17" s="477"/>
      <c r="G17" s="477"/>
      <c r="H17" s="1243">
        <f t="shared" si="1"/>
        <v>864082</v>
      </c>
      <c r="I17" s="477"/>
      <c r="J17" s="1243">
        <f t="shared" si="2"/>
        <v>864082</v>
      </c>
      <c r="K17" s="55"/>
      <c r="P17"/>
      <c r="Y17"/>
    </row>
    <row r="18" spans="1:25" ht="12.75">
      <c r="A18" s="404" t="s">
        <v>313</v>
      </c>
      <c r="B18" s="413">
        <f>'[29]Table 2 Distributions &amp; Adjust'!R18</f>
        <v>400522</v>
      </c>
      <c r="C18" s="477"/>
      <c r="D18" s="477"/>
      <c r="E18" s="477"/>
      <c r="F18" s="477"/>
      <c r="G18" s="477"/>
      <c r="H18" s="1243">
        <f t="shared" si="1"/>
        <v>400522</v>
      </c>
      <c r="I18" s="477"/>
      <c r="J18" s="1243">
        <f t="shared" si="2"/>
        <v>400522</v>
      </c>
      <c r="K18" s="55"/>
      <c r="P18"/>
      <c r="Y18"/>
    </row>
    <row r="19" spans="1:25" ht="12.75">
      <c r="A19" s="404" t="s">
        <v>314</v>
      </c>
      <c r="B19" s="413">
        <f>'[29]Table 2 Distributions &amp; Adjust'!R19</f>
        <v>813136</v>
      </c>
      <c r="C19" s="477"/>
      <c r="D19" s="477"/>
      <c r="E19" s="477"/>
      <c r="F19" s="477"/>
      <c r="G19" s="477"/>
      <c r="H19" s="1243">
        <f t="shared" si="1"/>
        <v>813136</v>
      </c>
      <c r="I19" s="477"/>
      <c r="J19" s="1243">
        <f t="shared" si="2"/>
        <v>813136</v>
      </c>
      <c r="K19" s="55"/>
      <c r="P19"/>
      <c r="Y19"/>
    </row>
    <row r="20" spans="1:25" ht="12.75">
      <c r="A20" s="404" t="s">
        <v>315</v>
      </c>
      <c r="B20" s="413">
        <f>'[29]Table 2 Distributions &amp; Adjust'!R20</f>
        <v>1198410</v>
      </c>
      <c r="C20" s="477"/>
      <c r="D20" s="477"/>
      <c r="E20" s="477"/>
      <c r="F20" s="477"/>
      <c r="G20" s="477"/>
      <c r="H20" s="1243">
        <f t="shared" si="1"/>
        <v>1198410</v>
      </c>
      <c r="I20" s="477"/>
      <c r="J20" s="1243">
        <f t="shared" si="2"/>
        <v>1198410</v>
      </c>
      <c r="K20" s="55"/>
      <c r="P20"/>
      <c r="Y20"/>
    </row>
    <row r="21" spans="1:25" ht="12.75">
      <c r="A21" s="405" t="s">
        <v>316</v>
      </c>
      <c r="B21" s="422">
        <f>'[29]Table 2 Distributions &amp; Adjust'!R21</f>
        <v>1774713</v>
      </c>
      <c r="C21" s="478"/>
      <c r="D21" s="478"/>
      <c r="E21" s="478"/>
      <c r="F21" s="478"/>
      <c r="G21" s="478"/>
      <c r="H21" s="1244">
        <f t="shared" si="1"/>
        <v>1774713</v>
      </c>
      <c r="I21" s="478"/>
      <c r="J21" s="1244">
        <f t="shared" si="2"/>
        <v>1774713</v>
      </c>
      <c r="K21" s="55"/>
      <c r="P21"/>
      <c r="Y21"/>
    </row>
    <row r="22" spans="1:25" ht="12.75">
      <c r="A22" s="404" t="s">
        <v>317</v>
      </c>
      <c r="B22" s="413">
        <f>'[29]Table 2 Distributions &amp; Adjust'!R22</f>
        <v>1821858</v>
      </c>
      <c r="C22" s="477"/>
      <c r="D22" s="477"/>
      <c r="E22" s="477"/>
      <c r="F22" s="477"/>
      <c r="G22" s="477"/>
      <c r="H22" s="1243">
        <f t="shared" si="1"/>
        <v>1821858</v>
      </c>
      <c r="I22" s="477"/>
      <c r="J22" s="1243">
        <f t="shared" si="2"/>
        <v>1821858</v>
      </c>
      <c r="K22" s="55"/>
      <c r="P22"/>
      <c r="Y22"/>
    </row>
    <row r="23" spans="1:25" ht="12.75">
      <c r="A23" s="404" t="s">
        <v>318</v>
      </c>
      <c r="B23" s="413">
        <f>'[29]Table 2 Distributions &amp; Adjust'!R23</f>
        <v>13437849</v>
      </c>
      <c r="C23" s="477">
        <f>-'[30]March Allocation'!$AY$14</f>
        <v>-1225005.5836999482</v>
      </c>
      <c r="D23" s="477"/>
      <c r="E23" s="477">
        <f>-'Table 5C1 Madison Prep-CSAL'!K19</f>
        <v>-39392.25</v>
      </c>
      <c r="F23" s="477"/>
      <c r="G23" s="477"/>
      <c r="H23" s="1243">
        <f t="shared" si="1"/>
        <v>12173451.16630005</v>
      </c>
      <c r="I23" s="477">
        <v>107</v>
      </c>
      <c r="J23" s="1243">
        <f t="shared" si="2"/>
        <v>12173558.16630005</v>
      </c>
      <c r="K23" s="55"/>
      <c r="P23"/>
      <c r="Y23"/>
    </row>
    <row r="24" spans="1:25" ht="12.75">
      <c r="A24" s="404" t="s">
        <v>319</v>
      </c>
      <c r="B24" s="413">
        <f>'[29]Table 2 Distributions &amp; Adjust'!R24</f>
        <v>713274</v>
      </c>
      <c r="C24" s="477"/>
      <c r="D24" s="477"/>
      <c r="E24" s="477"/>
      <c r="F24" s="477"/>
      <c r="G24" s="477"/>
      <c r="H24" s="1243">
        <f t="shared" si="1"/>
        <v>713274</v>
      </c>
      <c r="I24" s="477"/>
      <c r="J24" s="1243">
        <f t="shared" si="2"/>
        <v>713274</v>
      </c>
      <c r="K24" s="55"/>
      <c r="P24"/>
      <c r="Y24"/>
    </row>
    <row r="25" spans="1:25" ht="12.75">
      <c r="A25" s="404" t="s">
        <v>320</v>
      </c>
      <c r="B25" s="413">
        <f>'[29]Table 2 Distributions &amp; Adjust'!R25</f>
        <v>1040980</v>
      </c>
      <c r="C25" s="477"/>
      <c r="D25" s="477"/>
      <c r="E25" s="477"/>
      <c r="F25" s="477"/>
      <c r="G25" s="477"/>
      <c r="H25" s="1243">
        <f t="shared" si="1"/>
        <v>1040980</v>
      </c>
      <c r="I25" s="477"/>
      <c r="J25" s="1243">
        <f t="shared" si="2"/>
        <v>1040980</v>
      </c>
      <c r="K25" s="55"/>
      <c r="P25"/>
      <c r="Y25"/>
    </row>
    <row r="26" spans="1:25" ht="12.75">
      <c r="A26" s="405" t="s">
        <v>321</v>
      </c>
      <c r="B26" s="422">
        <f>'[29]Table 2 Distributions &amp; Adjust'!R26</f>
        <v>2846735</v>
      </c>
      <c r="C26" s="478"/>
      <c r="D26" s="478"/>
      <c r="E26" s="478"/>
      <c r="F26" s="478"/>
      <c r="G26" s="478"/>
      <c r="H26" s="1244">
        <f t="shared" si="1"/>
        <v>2846735</v>
      </c>
      <c r="I26" s="478"/>
      <c r="J26" s="1244">
        <f t="shared" si="2"/>
        <v>2846735</v>
      </c>
      <c r="K26" s="55"/>
      <c r="P26"/>
      <c r="Y26"/>
    </row>
    <row r="27" spans="1:25" ht="12.75">
      <c r="A27" s="404" t="s">
        <v>322</v>
      </c>
      <c r="B27" s="413">
        <f>'[29]Table 2 Distributions &amp; Adjust'!R27</f>
        <v>1473713</v>
      </c>
      <c r="C27" s="477"/>
      <c r="D27" s="477"/>
      <c r="E27" s="477"/>
      <c r="F27" s="477"/>
      <c r="G27" s="477"/>
      <c r="H27" s="1243">
        <f t="shared" si="1"/>
        <v>1473713</v>
      </c>
      <c r="I27" s="477"/>
      <c r="J27" s="1243">
        <f t="shared" si="2"/>
        <v>1473713</v>
      </c>
      <c r="K27" s="55"/>
      <c r="P27"/>
      <c r="Y27"/>
    </row>
    <row r="28" spans="1:25" ht="12.75">
      <c r="A28" s="404" t="s">
        <v>323</v>
      </c>
      <c r="B28" s="413">
        <f>'[29]Table 2 Distributions &amp; Adjust'!R28</f>
        <v>1685758</v>
      </c>
      <c r="C28" s="477"/>
      <c r="D28" s="477"/>
      <c r="E28" s="477"/>
      <c r="F28" s="477"/>
      <c r="G28" s="477"/>
      <c r="H28" s="1243">
        <f t="shared" si="1"/>
        <v>1685758</v>
      </c>
      <c r="I28" s="477"/>
      <c r="J28" s="1243">
        <f t="shared" si="2"/>
        <v>1685758</v>
      </c>
      <c r="K28" s="55"/>
      <c r="P28"/>
      <c r="Y28"/>
    </row>
    <row r="29" spans="1:25" ht="12.75">
      <c r="A29" s="404" t="s">
        <v>324</v>
      </c>
      <c r="B29" s="413">
        <f>'[29]Table 2 Distributions &amp; Adjust'!R29</f>
        <v>5903608</v>
      </c>
      <c r="C29" s="477"/>
      <c r="D29" s="477"/>
      <c r="E29" s="477"/>
      <c r="F29" s="477"/>
      <c r="G29" s="477"/>
      <c r="H29" s="1243">
        <f t="shared" si="1"/>
        <v>5903608</v>
      </c>
      <c r="I29" s="477"/>
      <c r="J29" s="1243">
        <f t="shared" si="2"/>
        <v>5903608</v>
      </c>
      <c r="K29" s="55"/>
      <c r="P29"/>
      <c r="Y29"/>
    </row>
    <row r="30" spans="1:25" ht="12.75">
      <c r="A30" s="404" t="s">
        <v>325</v>
      </c>
      <c r="B30" s="413">
        <f>'[29]Table 2 Distributions &amp; Adjust'!R30</f>
        <v>1280526</v>
      </c>
      <c r="C30" s="477"/>
      <c r="D30" s="477"/>
      <c r="E30" s="477"/>
      <c r="F30" s="477"/>
      <c r="G30" s="477"/>
      <c r="H30" s="1243">
        <f t="shared" si="1"/>
        <v>1280526</v>
      </c>
      <c r="I30" s="477"/>
      <c r="J30" s="1243">
        <f t="shared" si="2"/>
        <v>1280526</v>
      </c>
      <c r="K30" s="55"/>
      <c r="P30"/>
      <c r="Y30"/>
    </row>
    <row r="31" spans="1:25" ht="12.75">
      <c r="A31" s="405" t="s">
        <v>326</v>
      </c>
      <c r="B31" s="422">
        <f>'[29]Table 2 Distributions &amp; Adjust'!R31</f>
        <v>829790</v>
      </c>
      <c r="C31" s="478"/>
      <c r="D31" s="478"/>
      <c r="E31" s="478"/>
      <c r="F31" s="478"/>
      <c r="G31" s="478"/>
      <c r="H31" s="1244">
        <f t="shared" si="1"/>
        <v>829790</v>
      </c>
      <c r="I31" s="478"/>
      <c r="J31" s="1244">
        <f t="shared" si="2"/>
        <v>829790</v>
      </c>
      <c r="K31" s="55"/>
      <c r="P31"/>
      <c r="Y31"/>
    </row>
    <row r="32" spans="1:25" ht="12.75">
      <c r="A32" s="404" t="s">
        <v>327</v>
      </c>
      <c r="B32" s="413">
        <f>'[29]Table 2 Distributions &amp; Adjust'!R32</f>
        <v>12871791</v>
      </c>
      <c r="C32" s="477"/>
      <c r="D32" s="477"/>
      <c r="E32" s="477"/>
      <c r="F32" s="477"/>
      <c r="G32" s="477"/>
      <c r="H32" s="1243">
        <f t="shared" si="1"/>
        <v>12871791</v>
      </c>
      <c r="I32" s="477"/>
      <c r="J32" s="1243">
        <f t="shared" si="2"/>
        <v>12871791</v>
      </c>
      <c r="K32" s="55"/>
      <c r="P32"/>
      <c r="Y32"/>
    </row>
    <row r="33" spans="1:25" ht="12.75">
      <c r="A33" s="404" t="s">
        <v>328</v>
      </c>
      <c r="B33" s="413">
        <f>'[29]Table 2 Distributions &amp; Adjust'!R33</f>
        <v>2893743</v>
      </c>
      <c r="C33" s="477"/>
      <c r="D33" s="477"/>
      <c r="E33" s="477"/>
      <c r="F33" s="477"/>
      <c r="G33" s="477"/>
      <c r="H33" s="1243">
        <f t="shared" si="1"/>
        <v>2893743</v>
      </c>
      <c r="I33" s="477"/>
      <c r="J33" s="1243">
        <f t="shared" si="2"/>
        <v>2893743</v>
      </c>
      <c r="K33" s="55"/>
      <c r="P33"/>
      <c r="Y33"/>
    </row>
    <row r="34" spans="1:25" ht="12.75">
      <c r="A34" s="404" t="s">
        <v>329</v>
      </c>
      <c r="B34" s="413">
        <f>'[29]Table 2 Distributions &amp; Adjust'!R34</f>
        <v>9484502</v>
      </c>
      <c r="C34" s="477"/>
      <c r="D34" s="477"/>
      <c r="E34" s="477"/>
      <c r="F34" s="477"/>
      <c r="G34" s="477"/>
      <c r="H34" s="1243">
        <f t="shared" si="1"/>
        <v>9484502</v>
      </c>
      <c r="I34" s="477"/>
      <c r="J34" s="1243">
        <f t="shared" si="2"/>
        <v>9484502</v>
      </c>
      <c r="K34" s="55"/>
      <c r="P34"/>
      <c r="Y34"/>
    </row>
    <row r="35" spans="1:25" ht="12.75">
      <c r="A35" s="404" t="s">
        <v>330</v>
      </c>
      <c r="B35" s="413">
        <f>'[29]Table 2 Distributions &amp; Adjust'!R35</f>
        <v>5632792</v>
      </c>
      <c r="C35" s="477"/>
      <c r="D35" s="477"/>
      <c r="E35" s="477"/>
      <c r="F35" s="477"/>
      <c r="G35" s="477"/>
      <c r="H35" s="1243">
        <f t="shared" si="1"/>
        <v>5632792</v>
      </c>
      <c r="I35" s="477"/>
      <c r="J35" s="1243">
        <f t="shared" si="2"/>
        <v>5632792</v>
      </c>
      <c r="K35" s="55"/>
      <c r="P35"/>
      <c r="Y35"/>
    </row>
    <row r="36" spans="1:25" ht="12.75">
      <c r="A36" s="405" t="s">
        <v>331</v>
      </c>
      <c r="B36" s="422">
        <f>'[29]Table 2 Distributions &amp; Adjust'!R36</f>
        <v>1209597</v>
      </c>
      <c r="C36" s="478"/>
      <c r="D36" s="478"/>
      <c r="E36" s="478"/>
      <c r="F36" s="478"/>
      <c r="G36" s="478"/>
      <c r="H36" s="1244">
        <f t="shared" si="1"/>
        <v>1209597</v>
      </c>
      <c r="I36" s="478"/>
      <c r="J36" s="1244">
        <f t="shared" si="2"/>
        <v>1209597</v>
      </c>
      <c r="K36" s="55"/>
      <c r="P36"/>
      <c r="Y36"/>
    </row>
    <row r="37" spans="1:25" ht="12.75">
      <c r="A37" s="404" t="s">
        <v>332</v>
      </c>
      <c r="B37" s="413">
        <f>'[29]Table 2 Distributions &amp; Adjust'!R37</f>
        <v>2522433</v>
      </c>
      <c r="C37" s="477"/>
      <c r="D37" s="477"/>
      <c r="E37" s="477"/>
      <c r="F37" s="477">
        <f>-'Table 5C2-D''Arbonne Woods'!N20</f>
        <v>-702.75</v>
      </c>
      <c r="G37" s="477"/>
      <c r="H37" s="1243">
        <f t="shared" si="1"/>
        <v>2521730.25</v>
      </c>
      <c r="I37" s="477"/>
      <c r="J37" s="1243">
        <f t="shared" si="2"/>
        <v>2521730.25</v>
      </c>
      <c r="K37" s="55"/>
      <c r="P37"/>
      <c r="Y37"/>
    </row>
    <row r="38" spans="1:25" ht="12.75">
      <c r="A38" s="404" t="s">
        <v>333</v>
      </c>
      <c r="B38" s="413">
        <f>'[29]Table 2 Distributions &amp; Adjust'!R38</f>
        <v>11554721</v>
      </c>
      <c r="C38" s="477"/>
      <c r="D38" s="477"/>
      <c r="E38" s="477"/>
      <c r="F38" s="477"/>
      <c r="G38" s="477"/>
      <c r="H38" s="1243">
        <f t="shared" si="1"/>
        <v>11554721</v>
      </c>
      <c r="I38" s="477"/>
      <c r="J38" s="1243">
        <f t="shared" si="2"/>
        <v>11554721</v>
      </c>
      <c r="K38" s="55"/>
      <c r="P38"/>
      <c r="Y38"/>
    </row>
    <row r="39" spans="1:25" ht="12.75">
      <c r="A39" s="404" t="s">
        <v>334</v>
      </c>
      <c r="B39" s="413">
        <f>'[29]Table 2 Distributions &amp; Adjust'!R39</f>
        <v>1143369</v>
      </c>
      <c r="C39" s="477"/>
      <c r="D39" s="477"/>
      <c r="E39" s="477"/>
      <c r="F39" s="477"/>
      <c r="G39" s="477"/>
      <c r="H39" s="1243">
        <f t="shared" si="1"/>
        <v>1143369</v>
      </c>
      <c r="I39" s="477"/>
      <c r="J39" s="1243">
        <f aca="true" t="shared" si="3" ref="J39:J70">SUM(H39:I39)</f>
        <v>1143369</v>
      </c>
      <c r="K39" s="55"/>
      <c r="P39"/>
      <c r="Y39"/>
    </row>
    <row r="40" spans="1:25" ht="12.75">
      <c r="A40" s="404" t="s">
        <v>335</v>
      </c>
      <c r="B40" s="413">
        <f>'[29]Table 2 Distributions &amp; Adjust'!R40</f>
        <v>2453332</v>
      </c>
      <c r="C40" s="477"/>
      <c r="D40" s="477"/>
      <c r="E40" s="477"/>
      <c r="F40" s="477"/>
      <c r="G40" s="477"/>
      <c r="H40" s="1243">
        <f t="shared" si="1"/>
        <v>2453332</v>
      </c>
      <c r="I40" s="477"/>
      <c r="J40" s="1243">
        <f t="shared" si="3"/>
        <v>2453332</v>
      </c>
      <c r="K40" s="55"/>
      <c r="P40"/>
      <c r="Y40"/>
    </row>
    <row r="41" spans="1:25" ht="12.75">
      <c r="A41" s="405" t="s">
        <v>336</v>
      </c>
      <c r="B41" s="422">
        <f>'[29]Table 2 Distributions &amp; Adjust'!R41</f>
        <v>2839253</v>
      </c>
      <c r="C41" s="478"/>
      <c r="D41" s="478"/>
      <c r="E41" s="478"/>
      <c r="F41" s="478"/>
      <c r="G41" s="478"/>
      <c r="H41" s="1244">
        <f t="shared" si="1"/>
        <v>2839253</v>
      </c>
      <c r="I41" s="478"/>
      <c r="J41" s="1244">
        <f t="shared" si="3"/>
        <v>2839253</v>
      </c>
      <c r="K41" s="55"/>
      <c r="P41"/>
      <c r="Y41"/>
    </row>
    <row r="42" spans="1:25" ht="12.75">
      <c r="A42" s="404" t="s">
        <v>337</v>
      </c>
      <c r="B42" s="413">
        <f>'[29]Table 2 Distributions &amp; Adjust'!R42</f>
        <v>2947224</v>
      </c>
      <c r="C42" s="477"/>
      <c r="D42" s="477">
        <f>-B42</f>
        <v>-2947224</v>
      </c>
      <c r="E42" s="477"/>
      <c r="F42" s="477"/>
      <c r="G42" s="477"/>
      <c r="H42" s="1243">
        <f t="shared" si="1"/>
        <v>0</v>
      </c>
      <c r="I42" s="477"/>
      <c r="J42" s="1243">
        <f t="shared" si="3"/>
        <v>0</v>
      </c>
      <c r="K42" s="995"/>
      <c r="L42" s="995"/>
      <c r="M42" s="995"/>
      <c r="N42" s="995"/>
      <c r="P42"/>
      <c r="Y42"/>
    </row>
    <row r="43" spans="1:25" ht="12.75">
      <c r="A43" s="404" t="s">
        <v>338</v>
      </c>
      <c r="B43" s="413">
        <f>'[29]Table 2 Distributions &amp; Adjust'!R43</f>
        <v>9314660</v>
      </c>
      <c r="C43" s="477"/>
      <c r="D43" s="477"/>
      <c r="E43" s="477"/>
      <c r="F43" s="477">
        <f>-'Table 5C2-D''Arbonne Woods'!N19</f>
        <v>-5314.25</v>
      </c>
      <c r="G43" s="477"/>
      <c r="H43" s="1243">
        <f t="shared" si="1"/>
        <v>9309345.75</v>
      </c>
      <c r="I43" s="477"/>
      <c r="J43" s="1243">
        <f t="shared" si="3"/>
        <v>9309345.75</v>
      </c>
      <c r="K43" s="995"/>
      <c r="L43" s="995"/>
      <c r="M43" s="995"/>
      <c r="N43" s="995"/>
      <c r="P43"/>
      <c r="Y43"/>
    </row>
    <row r="44" spans="1:25" ht="12.75">
      <c r="A44" s="404" t="s">
        <v>339</v>
      </c>
      <c r="B44" s="413">
        <f>'[29]Table 2 Distributions &amp; Adjust'!R44</f>
        <v>1086756</v>
      </c>
      <c r="C44" s="477"/>
      <c r="D44" s="477"/>
      <c r="E44" s="477"/>
      <c r="F44" s="477"/>
      <c r="G44" s="477"/>
      <c r="H44" s="1243">
        <f t="shared" si="1"/>
        <v>1086756</v>
      </c>
      <c r="I44" s="477"/>
      <c r="J44" s="1243">
        <f t="shared" si="3"/>
        <v>1086756</v>
      </c>
      <c r="K44" s="995"/>
      <c r="L44" s="995"/>
      <c r="M44" s="995"/>
      <c r="N44" s="995"/>
      <c r="P44"/>
      <c r="Y44"/>
    </row>
    <row r="45" spans="1:25" ht="12.75">
      <c r="A45" s="404" t="s">
        <v>340</v>
      </c>
      <c r="B45" s="413">
        <f>'[29]Table 2 Distributions &amp; Adjust'!R45</f>
        <v>885552</v>
      </c>
      <c r="C45" s="477">
        <f>-'[30]March Allocation'!$AY$16</f>
        <v>-115304.88896809384</v>
      </c>
      <c r="D45" s="477"/>
      <c r="E45" s="477"/>
      <c r="F45" s="477"/>
      <c r="G45" s="477"/>
      <c r="H45" s="1243">
        <f t="shared" si="1"/>
        <v>770247.1110319062</v>
      </c>
      <c r="I45" s="477"/>
      <c r="J45" s="1243">
        <f t="shared" si="3"/>
        <v>770247.1110319062</v>
      </c>
      <c r="K45" s="1193"/>
      <c r="L45" s="960"/>
      <c r="M45" s="960"/>
      <c r="N45" s="960"/>
      <c r="P45"/>
      <c r="Y45"/>
    </row>
    <row r="46" spans="1:25" ht="12.75">
      <c r="A46" s="405" t="s">
        <v>341</v>
      </c>
      <c r="B46" s="422">
        <f>'[29]Table 2 Distributions &amp; Adjust'!R46</f>
        <v>9832712</v>
      </c>
      <c r="C46" s="478"/>
      <c r="D46" s="478"/>
      <c r="E46" s="478"/>
      <c r="F46" s="478"/>
      <c r="G46" s="478"/>
      <c r="H46" s="1244">
        <f t="shared" si="1"/>
        <v>9832712</v>
      </c>
      <c r="I46" s="478"/>
      <c r="J46" s="1244">
        <f t="shared" si="3"/>
        <v>9832712</v>
      </c>
      <c r="K46" s="55"/>
      <c r="P46"/>
      <c r="Y46"/>
    </row>
    <row r="47" spans="1:25" ht="12.75">
      <c r="A47" s="404" t="s">
        <v>342</v>
      </c>
      <c r="B47" s="413">
        <f>'[29]Table 2 Distributions &amp; Adjust'!R47</f>
        <v>843970</v>
      </c>
      <c r="C47" s="477"/>
      <c r="D47" s="477"/>
      <c r="E47" s="477"/>
      <c r="F47" s="477"/>
      <c r="G47" s="477"/>
      <c r="H47" s="1243">
        <f t="shared" si="1"/>
        <v>843970</v>
      </c>
      <c r="I47" s="477"/>
      <c r="J47" s="1243">
        <f t="shared" si="3"/>
        <v>843970</v>
      </c>
      <c r="K47" s="55"/>
      <c r="P47"/>
      <c r="Y47"/>
    </row>
    <row r="48" spans="1:25" ht="12.75">
      <c r="A48" s="404" t="s">
        <v>343</v>
      </c>
      <c r="B48" s="413">
        <f>'[29]Table 2 Distributions &amp; Adjust'!R48</f>
        <v>1635541</v>
      </c>
      <c r="C48" s="477"/>
      <c r="D48" s="477"/>
      <c r="E48" s="477"/>
      <c r="F48" s="477"/>
      <c r="G48" s="477"/>
      <c r="H48" s="1243">
        <f t="shared" si="1"/>
        <v>1635541</v>
      </c>
      <c r="I48" s="477"/>
      <c r="J48" s="1243">
        <f t="shared" si="3"/>
        <v>1635541</v>
      </c>
      <c r="K48" s="55"/>
      <c r="P48"/>
      <c r="Y48"/>
    </row>
    <row r="49" spans="1:25" ht="12.75">
      <c r="A49" s="404" t="s">
        <v>344</v>
      </c>
      <c r="B49" s="413">
        <f>'[29]Table 2 Distributions &amp; Adjust'!R49</f>
        <v>2111374</v>
      </c>
      <c r="C49" s="477"/>
      <c r="D49" s="477"/>
      <c r="E49" s="477"/>
      <c r="F49" s="477"/>
      <c r="G49" s="477"/>
      <c r="H49" s="1243">
        <f t="shared" si="1"/>
        <v>2111374</v>
      </c>
      <c r="I49" s="477"/>
      <c r="J49" s="1243">
        <f t="shared" si="3"/>
        <v>2111374</v>
      </c>
      <c r="K49" s="55"/>
      <c r="P49"/>
      <c r="Y49"/>
    </row>
    <row r="50" spans="1:25" ht="12.75">
      <c r="A50" s="404" t="s">
        <v>345</v>
      </c>
      <c r="B50" s="413">
        <f>'[29]Table 2 Distributions &amp; Adjust'!R50</f>
        <v>1942860</v>
      </c>
      <c r="C50" s="477"/>
      <c r="D50" s="477"/>
      <c r="E50" s="477"/>
      <c r="F50" s="477"/>
      <c r="G50" s="477"/>
      <c r="H50" s="1243">
        <f t="shared" si="1"/>
        <v>1942860</v>
      </c>
      <c r="I50" s="477"/>
      <c r="J50" s="1243">
        <f t="shared" si="3"/>
        <v>1942860</v>
      </c>
      <c r="K50" s="55"/>
      <c r="P50"/>
      <c r="Y50"/>
    </row>
    <row r="51" spans="1:25" ht="12.75">
      <c r="A51" s="405" t="s">
        <v>346</v>
      </c>
      <c r="B51" s="422">
        <f>'[29]Table 2 Distributions &amp; Adjust'!R51</f>
        <v>2532821</v>
      </c>
      <c r="C51" s="478"/>
      <c r="D51" s="478"/>
      <c r="E51" s="478"/>
      <c r="F51" s="478"/>
      <c r="G51" s="478"/>
      <c r="H51" s="1244">
        <f t="shared" si="1"/>
        <v>2532821</v>
      </c>
      <c r="I51" s="478"/>
      <c r="J51" s="1244">
        <f t="shared" si="3"/>
        <v>2532821</v>
      </c>
      <c r="K51" s="55"/>
      <c r="P51"/>
      <c r="Y51"/>
    </row>
    <row r="52" spans="1:25" ht="12.75">
      <c r="A52" s="404" t="s">
        <v>347</v>
      </c>
      <c r="B52" s="413">
        <f>'[29]Table 2 Distributions &amp; Adjust'!R52</f>
        <v>608404</v>
      </c>
      <c r="C52" s="477"/>
      <c r="D52" s="477"/>
      <c r="E52" s="477"/>
      <c r="F52" s="477"/>
      <c r="G52" s="477"/>
      <c r="H52" s="1243">
        <f t="shared" si="1"/>
        <v>608404</v>
      </c>
      <c r="I52" s="477"/>
      <c r="J52" s="1243">
        <f t="shared" si="3"/>
        <v>608404</v>
      </c>
      <c r="K52" s="55"/>
      <c r="P52"/>
      <c r="Y52"/>
    </row>
    <row r="53" spans="1:25" ht="12.75">
      <c r="A53" s="404" t="s">
        <v>348</v>
      </c>
      <c r="B53" s="413">
        <f>'[29]Table 2 Distributions &amp; Adjust'!R53</f>
        <v>1396717</v>
      </c>
      <c r="C53" s="477"/>
      <c r="D53" s="477"/>
      <c r="E53" s="477"/>
      <c r="F53" s="477"/>
      <c r="G53" s="477"/>
      <c r="H53" s="1243">
        <f t="shared" si="1"/>
        <v>1396717</v>
      </c>
      <c r="I53" s="477"/>
      <c r="J53" s="1243">
        <f t="shared" si="3"/>
        <v>1396717</v>
      </c>
      <c r="K53" s="55"/>
      <c r="P53"/>
      <c r="Y53"/>
    </row>
    <row r="54" spans="1:25" ht="12.75">
      <c r="A54" s="404" t="s">
        <v>428</v>
      </c>
      <c r="B54" s="413">
        <f>'[29]Table 2 Distributions &amp; Adjust'!R54</f>
        <v>2454653</v>
      </c>
      <c r="C54" s="477"/>
      <c r="D54" s="477"/>
      <c r="E54" s="477"/>
      <c r="F54" s="477"/>
      <c r="G54" s="477"/>
      <c r="H54" s="1243">
        <f t="shared" si="1"/>
        <v>2454653</v>
      </c>
      <c r="I54" s="477"/>
      <c r="J54" s="1243">
        <f t="shared" si="3"/>
        <v>2454653</v>
      </c>
      <c r="K54" s="55"/>
      <c r="P54"/>
      <c r="Y54"/>
    </row>
    <row r="55" spans="1:25" ht="12.75">
      <c r="A55" s="404" t="s">
        <v>349</v>
      </c>
      <c r="B55" s="413">
        <f>'[29]Table 2 Distributions &amp; Adjust'!R55</f>
        <v>6347875</v>
      </c>
      <c r="C55" s="477"/>
      <c r="D55" s="477"/>
      <c r="E55" s="477"/>
      <c r="F55" s="477"/>
      <c r="G55" s="477"/>
      <c r="H55" s="1243">
        <f t="shared" si="1"/>
        <v>6347875</v>
      </c>
      <c r="I55" s="477"/>
      <c r="J55" s="1243">
        <f t="shared" si="3"/>
        <v>6347875</v>
      </c>
      <c r="K55" s="55"/>
      <c r="P55"/>
      <c r="Y55"/>
    </row>
    <row r="56" spans="1:25" ht="12.75">
      <c r="A56" s="405" t="s">
        <v>350</v>
      </c>
      <c r="B56" s="422">
        <f>'[29]Table 2 Distributions &amp; Adjust'!R56</f>
        <v>3627731</v>
      </c>
      <c r="C56" s="478"/>
      <c r="D56" s="478"/>
      <c r="E56" s="478"/>
      <c r="F56" s="478"/>
      <c r="G56" s="478"/>
      <c r="H56" s="1244">
        <f t="shared" si="1"/>
        <v>3627731</v>
      </c>
      <c r="I56" s="478"/>
      <c r="J56" s="1244">
        <f t="shared" si="3"/>
        <v>3627731</v>
      </c>
      <c r="K56" s="55"/>
      <c r="P56"/>
      <c r="Y56"/>
    </row>
    <row r="57" spans="1:25" ht="12.75">
      <c r="A57" s="404" t="s">
        <v>351</v>
      </c>
      <c r="B57" s="413">
        <f>'[29]Table 2 Distributions &amp; Adjust'!R57</f>
        <v>3895487</v>
      </c>
      <c r="C57" s="477"/>
      <c r="D57" s="477"/>
      <c r="E57" s="477"/>
      <c r="F57" s="477"/>
      <c r="G57" s="477"/>
      <c r="H57" s="1243">
        <f t="shared" si="1"/>
        <v>3895487</v>
      </c>
      <c r="I57" s="477"/>
      <c r="J57" s="1243">
        <f t="shared" si="3"/>
        <v>3895487</v>
      </c>
      <c r="K57" s="55"/>
      <c r="P57"/>
      <c r="Y57"/>
    </row>
    <row r="58" spans="1:25" ht="12.75">
      <c r="A58" s="404" t="s">
        <v>352</v>
      </c>
      <c r="B58" s="413">
        <f>'[29]Table 2 Distributions &amp; Adjust'!R58</f>
        <v>15208834</v>
      </c>
      <c r="C58" s="477"/>
      <c r="D58" s="477"/>
      <c r="E58" s="477"/>
      <c r="F58" s="477"/>
      <c r="G58" s="477"/>
      <c r="H58" s="1243">
        <f t="shared" si="1"/>
        <v>15208834</v>
      </c>
      <c r="I58" s="477"/>
      <c r="J58" s="1243">
        <f t="shared" si="3"/>
        <v>15208834</v>
      </c>
      <c r="K58" s="55"/>
      <c r="P58"/>
      <c r="Y58"/>
    </row>
    <row r="59" spans="1:25" ht="12.75">
      <c r="A59" s="404" t="s">
        <v>353</v>
      </c>
      <c r="B59" s="413">
        <f>'[29]Table 2 Distributions &amp; Adjust'!R59</f>
        <v>8252789</v>
      </c>
      <c r="C59" s="477"/>
      <c r="D59" s="477"/>
      <c r="E59" s="477"/>
      <c r="F59" s="477"/>
      <c r="G59" s="477"/>
      <c r="H59" s="1243">
        <f t="shared" si="1"/>
        <v>8252789</v>
      </c>
      <c r="I59" s="477"/>
      <c r="J59" s="1243">
        <f t="shared" si="3"/>
        <v>8252789</v>
      </c>
      <c r="K59" s="55"/>
      <c r="P59"/>
      <c r="Y59"/>
    </row>
    <row r="60" spans="1:25" ht="12.75">
      <c r="A60" s="404" t="s">
        <v>354</v>
      </c>
      <c r="B60" s="413">
        <f>'[29]Table 2 Distributions &amp; Adjust'!R60</f>
        <v>371843</v>
      </c>
      <c r="C60" s="477"/>
      <c r="D60" s="477"/>
      <c r="E60" s="477"/>
      <c r="F60" s="477"/>
      <c r="G60" s="477"/>
      <c r="H60" s="1243">
        <f t="shared" si="1"/>
        <v>371843</v>
      </c>
      <c r="I60" s="477"/>
      <c r="J60" s="1243">
        <f t="shared" si="3"/>
        <v>371843</v>
      </c>
      <c r="K60" s="55"/>
      <c r="P60"/>
      <c r="Y60"/>
    </row>
    <row r="61" spans="1:25" ht="12.75">
      <c r="A61" s="405" t="s">
        <v>355</v>
      </c>
      <c r="B61" s="422">
        <f>'[29]Table 2 Distributions &amp; Adjust'!R61</f>
        <v>6948883</v>
      </c>
      <c r="C61" s="478"/>
      <c r="D61" s="478"/>
      <c r="E61" s="478"/>
      <c r="F61" s="478"/>
      <c r="G61" s="478"/>
      <c r="H61" s="1244">
        <f t="shared" si="1"/>
        <v>6948883</v>
      </c>
      <c r="I61" s="478"/>
      <c r="J61" s="1244">
        <f t="shared" si="3"/>
        <v>6948883</v>
      </c>
      <c r="K61" s="55"/>
      <c r="P61"/>
      <c r="Y61"/>
    </row>
    <row r="62" spans="1:25" ht="12.75">
      <c r="A62" s="404" t="s">
        <v>356</v>
      </c>
      <c r="B62" s="413">
        <f>'[29]Table 2 Distributions &amp; Adjust'!R62</f>
        <v>1372698</v>
      </c>
      <c r="C62" s="477"/>
      <c r="D62" s="477"/>
      <c r="E62" s="477"/>
      <c r="F62" s="477">
        <f>-'Table 5C2-D''Arbonne Woods'!N18</f>
        <v>-49266.75</v>
      </c>
      <c r="G62" s="477">
        <f>'Table 5C2-D''Arbonne Woods'!N31-115</f>
        <v>-115</v>
      </c>
      <c r="H62" s="1243">
        <f t="shared" si="1"/>
        <v>1323316.25</v>
      </c>
      <c r="I62" s="477"/>
      <c r="J62" s="1243">
        <f t="shared" si="3"/>
        <v>1323316.25</v>
      </c>
      <c r="K62" s="55"/>
      <c r="P62"/>
      <c r="Y62"/>
    </row>
    <row r="63" spans="1:25" ht="12.75">
      <c r="A63" s="404" t="s">
        <v>357</v>
      </c>
      <c r="B63" s="413">
        <f>'[29]Table 2 Distributions &amp; Adjust'!R63</f>
        <v>3187297</v>
      </c>
      <c r="C63" s="477"/>
      <c r="D63" s="477"/>
      <c r="E63" s="477"/>
      <c r="F63" s="477"/>
      <c r="G63" s="477"/>
      <c r="H63" s="1243">
        <f t="shared" si="1"/>
        <v>3187297</v>
      </c>
      <c r="I63" s="477"/>
      <c r="J63" s="1243">
        <f t="shared" si="3"/>
        <v>3187297</v>
      </c>
      <c r="K63" s="55"/>
      <c r="P63"/>
      <c r="Y63"/>
    </row>
    <row r="64" spans="1:25" ht="12.75">
      <c r="A64" s="404" t="s">
        <v>358</v>
      </c>
      <c r="B64" s="413">
        <f>'[29]Table 2 Distributions &amp; Adjust'!R64</f>
        <v>4637713</v>
      </c>
      <c r="C64" s="477"/>
      <c r="D64" s="477"/>
      <c r="E64" s="477"/>
      <c r="F64" s="477"/>
      <c r="G64" s="477"/>
      <c r="H64" s="1243">
        <f t="shared" si="1"/>
        <v>4637713</v>
      </c>
      <c r="I64" s="477"/>
      <c r="J64" s="1243">
        <f t="shared" si="3"/>
        <v>4637713</v>
      </c>
      <c r="K64" s="55"/>
      <c r="P64"/>
      <c r="Y64"/>
    </row>
    <row r="65" spans="1:25" ht="12.75">
      <c r="A65" s="404" t="s">
        <v>359</v>
      </c>
      <c r="B65" s="413">
        <f>'[29]Table 2 Distributions &amp; Adjust'!R65</f>
        <v>2761432</v>
      </c>
      <c r="C65" s="477"/>
      <c r="D65" s="477"/>
      <c r="E65" s="477"/>
      <c r="F65" s="477"/>
      <c r="G65" s="477"/>
      <c r="H65" s="1243">
        <f t="shared" si="1"/>
        <v>2761432</v>
      </c>
      <c r="I65" s="477"/>
      <c r="J65" s="1243">
        <f t="shared" si="3"/>
        <v>2761432</v>
      </c>
      <c r="K65" s="55"/>
      <c r="P65"/>
      <c r="Y65"/>
    </row>
    <row r="66" spans="1:25" ht="12.75">
      <c r="A66" s="405" t="s">
        <v>360</v>
      </c>
      <c r="B66" s="422">
        <f>'[29]Table 2 Distributions &amp; Adjust'!R66</f>
        <v>3126853</v>
      </c>
      <c r="C66" s="478"/>
      <c r="D66" s="478"/>
      <c r="E66" s="478"/>
      <c r="F66" s="478"/>
      <c r="G66" s="478"/>
      <c r="H66" s="1244">
        <f t="shared" si="1"/>
        <v>3126853</v>
      </c>
      <c r="I66" s="478"/>
      <c r="J66" s="1244">
        <f t="shared" si="3"/>
        <v>3126853</v>
      </c>
      <c r="K66" s="55"/>
      <c r="P66"/>
      <c r="Y66"/>
    </row>
    <row r="67" spans="1:25" ht="12.75">
      <c r="A67" s="404" t="s">
        <v>361</v>
      </c>
      <c r="B67" s="413">
        <f>'[29]Table 2 Distributions &amp; Adjust'!R67</f>
        <v>1082894</v>
      </c>
      <c r="C67" s="477"/>
      <c r="D67" s="477"/>
      <c r="E67" s="477"/>
      <c r="F67" s="477"/>
      <c r="G67" s="477"/>
      <c r="H67" s="1243">
        <f t="shared" si="1"/>
        <v>1082894</v>
      </c>
      <c r="I67" s="477"/>
      <c r="J67" s="1243">
        <f t="shared" si="3"/>
        <v>1082894</v>
      </c>
      <c r="K67" s="55"/>
      <c r="P67"/>
      <c r="Y67"/>
    </row>
    <row r="68" spans="1:25" ht="12.75">
      <c r="A68" s="404" t="s">
        <v>362</v>
      </c>
      <c r="B68" s="413">
        <f>'[29]Table 2 Distributions &amp; Adjust'!R68</f>
        <v>1062185</v>
      </c>
      <c r="C68" s="477"/>
      <c r="D68" s="477"/>
      <c r="E68" s="477"/>
      <c r="F68" s="477"/>
      <c r="G68" s="477"/>
      <c r="H68" s="1243">
        <f t="shared" si="1"/>
        <v>1062185</v>
      </c>
      <c r="I68" s="477"/>
      <c r="J68" s="1243">
        <f t="shared" si="3"/>
        <v>1062185</v>
      </c>
      <c r="K68" s="55"/>
      <c r="P68"/>
      <c r="Y68"/>
    </row>
    <row r="69" spans="1:25" ht="12.75">
      <c r="A69" s="404" t="s">
        <v>363</v>
      </c>
      <c r="B69" s="413">
        <f>'[29]Table 2 Distributions &amp; Adjust'!R69</f>
        <v>904349</v>
      </c>
      <c r="C69" s="477"/>
      <c r="D69" s="477"/>
      <c r="E69" s="477"/>
      <c r="F69" s="477"/>
      <c r="G69" s="477"/>
      <c r="H69" s="1243">
        <f t="shared" si="1"/>
        <v>904349</v>
      </c>
      <c r="I69" s="477"/>
      <c r="J69" s="1243">
        <f t="shared" si="3"/>
        <v>904349</v>
      </c>
      <c r="K69" s="55"/>
      <c r="P69"/>
      <c r="Y69"/>
    </row>
    <row r="70" spans="1:25" ht="12.75">
      <c r="A70" s="404" t="s">
        <v>364</v>
      </c>
      <c r="B70" s="413">
        <f>'[29]Table 2 Distributions &amp; Adjust'!R70</f>
        <v>1238734</v>
      </c>
      <c r="C70" s="477"/>
      <c r="D70" s="477"/>
      <c r="E70" s="477"/>
      <c r="F70" s="477"/>
      <c r="G70" s="477"/>
      <c r="H70" s="1243">
        <f t="shared" si="1"/>
        <v>1238734</v>
      </c>
      <c r="I70" s="477"/>
      <c r="J70" s="1243">
        <f t="shared" si="3"/>
        <v>1238734</v>
      </c>
      <c r="K70" s="55"/>
      <c r="P70"/>
      <c r="Y70"/>
    </row>
    <row r="71" spans="1:25" ht="12.75">
      <c r="A71" s="405" t="s">
        <v>365</v>
      </c>
      <c r="B71" s="422">
        <f>'[29]Table 2 Distributions &amp; Adjust'!R71</f>
        <v>3442762</v>
      </c>
      <c r="C71" s="478"/>
      <c r="D71" s="478"/>
      <c r="E71" s="478"/>
      <c r="F71" s="478"/>
      <c r="G71" s="478"/>
      <c r="H71" s="1244">
        <f>SUM(B71:G71)</f>
        <v>3442762</v>
      </c>
      <c r="I71" s="478"/>
      <c r="J71" s="1244">
        <f>SUM(H71:I71)</f>
        <v>3442762</v>
      </c>
      <c r="K71" s="55"/>
      <c r="P71"/>
      <c r="Y71"/>
    </row>
    <row r="72" spans="1:25" ht="12.75">
      <c r="A72" s="406" t="s">
        <v>366</v>
      </c>
      <c r="B72" s="415">
        <f>'[29]Table 2 Distributions &amp; Adjust'!R72</f>
        <v>1119693</v>
      </c>
      <c r="C72" s="479"/>
      <c r="D72" s="479"/>
      <c r="E72" s="479"/>
      <c r="F72" s="479"/>
      <c r="G72" s="479"/>
      <c r="H72" s="1245">
        <f>SUM(B72:G72)</f>
        <v>1119693</v>
      </c>
      <c r="I72" s="479"/>
      <c r="J72" s="1245">
        <f>SUM(H72:I72)</f>
        <v>1119693</v>
      </c>
      <c r="K72" s="55"/>
      <c r="P72"/>
      <c r="Y72"/>
    </row>
    <row r="73" spans="1:25" ht="12.75">
      <c r="A73" s="407" t="s">
        <v>135</v>
      </c>
      <c r="B73" s="413">
        <f>'[29]Table 2 Distributions &amp; Adjust'!R73</f>
        <v>2281364</v>
      </c>
      <c r="C73" s="477"/>
      <c r="D73" s="477"/>
      <c r="E73" s="477">
        <f>-'Table 5C1 Madison Prep-CSAL'!K20</f>
        <v>-865.75</v>
      </c>
      <c r="F73" s="477"/>
      <c r="G73" s="477"/>
      <c r="H73" s="1243">
        <f>SUM(B73:G73)</f>
        <v>2280498.25</v>
      </c>
      <c r="I73" s="477"/>
      <c r="J73" s="1243">
        <f>SUM(H73:I73)</f>
        <v>2280498.25</v>
      </c>
      <c r="K73" s="55"/>
      <c r="P73"/>
      <c r="Y73"/>
    </row>
    <row r="74" spans="1:25" ht="12.75">
      <c r="A74" s="404" t="s">
        <v>132</v>
      </c>
      <c r="B74" s="413">
        <f>'[29]Table 2 Distributions &amp; Adjust'!R74</f>
        <v>1086761</v>
      </c>
      <c r="C74" s="477"/>
      <c r="D74" s="477"/>
      <c r="E74" s="477">
        <f>-'Table 5C1 Madison Prep-CSAL'!K21</f>
        <v>-1663</v>
      </c>
      <c r="F74" s="477"/>
      <c r="G74" s="477"/>
      <c r="H74" s="1243">
        <f>SUM(B74:G74)</f>
        <v>1085098</v>
      </c>
      <c r="I74" s="477"/>
      <c r="J74" s="1243">
        <f>SUM(H74:I74)</f>
        <v>1085098</v>
      </c>
      <c r="K74" s="55"/>
      <c r="P74"/>
      <c r="Y74"/>
    </row>
    <row r="75" spans="1:25" ht="12.75">
      <c r="A75" s="405" t="s">
        <v>447</v>
      </c>
      <c r="B75" s="422">
        <f>'[29]Table 2 Distributions &amp; Adjust'!R75</f>
        <v>1679770</v>
      </c>
      <c r="C75" s="478"/>
      <c r="D75" s="478"/>
      <c r="E75" s="478">
        <f>-'Table 5C1 Madison Prep-CSAL'!K22</f>
        <v>-743</v>
      </c>
      <c r="F75" s="478"/>
      <c r="G75" s="478"/>
      <c r="H75" s="1244">
        <f>SUM(B75:G75)</f>
        <v>1679027</v>
      </c>
      <c r="I75" s="478"/>
      <c r="J75" s="1244">
        <f>SUM(H75:I75)</f>
        <v>1679027</v>
      </c>
      <c r="K75" s="55"/>
      <c r="P75"/>
      <c r="Y75"/>
    </row>
    <row r="76" spans="1:25" ht="13.5" thickBot="1">
      <c r="A76" s="582" t="s">
        <v>367</v>
      </c>
      <c r="B76" s="606">
        <f aca="true" t="shared" si="4" ref="B76:K76">SUM(B7:B75)</f>
        <v>259056945</v>
      </c>
      <c r="C76" s="606">
        <f t="shared" si="4"/>
        <v>-1587525.099132417</v>
      </c>
      <c r="D76" s="606">
        <f t="shared" si="4"/>
        <v>-2947224</v>
      </c>
      <c r="E76" s="606">
        <f t="shared" si="4"/>
        <v>-42664</v>
      </c>
      <c r="F76" s="606">
        <f t="shared" si="4"/>
        <v>-55283.75</v>
      </c>
      <c r="G76" s="606">
        <f t="shared" si="4"/>
        <v>-115</v>
      </c>
      <c r="H76" s="1246">
        <f t="shared" si="4"/>
        <v>254424133.1508676</v>
      </c>
      <c r="I76" s="606">
        <f t="shared" si="4"/>
        <v>107</v>
      </c>
      <c r="J76" s="1246">
        <f t="shared" si="4"/>
        <v>254424240.1508676</v>
      </c>
      <c r="K76" s="55">
        <f t="shared" si="4"/>
        <v>0</v>
      </c>
      <c r="P76"/>
      <c r="Y76"/>
    </row>
    <row r="77" spans="12:23" ht="13.5" thickTop="1">
      <c r="L77" s="119"/>
      <c r="M77" s="119"/>
      <c r="N77" s="119"/>
      <c r="O77" s="119"/>
      <c r="P77" s="119"/>
      <c r="Q77" s="119"/>
      <c r="R77" s="119"/>
      <c r="S77" s="119"/>
      <c r="T77" s="119"/>
      <c r="W77" s="119"/>
    </row>
    <row r="78" spans="8:10" ht="12.75" hidden="1">
      <c r="H78" s="59">
        <f>SUM(B76:G76)</f>
        <v>254424133.15086758</v>
      </c>
      <c r="J78" s="59">
        <f>SUM(H76:I76)</f>
        <v>254424240.1508676</v>
      </c>
    </row>
    <row r="79" spans="12:23" ht="12.75">
      <c r="L79" s="59"/>
      <c r="M79" s="59"/>
      <c r="N79" s="59"/>
      <c r="O79" s="59"/>
      <c r="Q79" s="59"/>
      <c r="R79" s="59"/>
      <c r="S79" s="59"/>
      <c r="T79" s="59"/>
      <c r="W79" s="59"/>
    </row>
  </sheetData>
  <sheetProtection/>
  <mergeCells count="10">
    <mergeCell ref="J2:J5"/>
    <mergeCell ref="F2:F5"/>
    <mergeCell ref="G2:G5"/>
    <mergeCell ref="H2:H5"/>
    <mergeCell ref="A2:A5"/>
    <mergeCell ref="B2:B5"/>
    <mergeCell ref="C2:C5"/>
    <mergeCell ref="D2:D5"/>
    <mergeCell ref="E2:E5"/>
    <mergeCell ref="I2:I5"/>
  </mergeCells>
  <printOptions/>
  <pageMargins left="0.17" right="0.33" top="1.01" bottom="0.75" header="0.3" footer="0.3"/>
  <pageSetup horizontalDpi="600" verticalDpi="600" orientation="portrait" paperSize="5" scale="65" r:id="rId1"/>
  <headerFooter>
    <oddHeader>&amp;L&amp;"Arial,Bold"&amp;14Table 2A:  FY2009-10 Budget Letter
MFP Transfer Amount (May 2010)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X873"/>
  <sheetViews>
    <sheetView view="pageBreakPreview" zoomScaleNormal="85" zoomScaleSheetLayoutView="100" zoomScalePageLayoutView="0" workbookViewId="0" topLeftCell="A1">
      <pane xSplit="2" ySplit="7" topLeftCell="C74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Z88" sqref="Z88:Z94"/>
    </sheetView>
  </sheetViews>
  <sheetFormatPr defaultColWidth="9.140625" defaultRowHeight="12.75"/>
  <cols>
    <col min="1" max="1" width="4.7109375" style="1" bestFit="1" customWidth="1"/>
    <col min="2" max="2" width="18.7109375" style="2" customWidth="1"/>
    <col min="3" max="4" width="15.8515625" style="2" customWidth="1"/>
    <col min="5" max="5" width="15.421875" style="3" bestFit="1" customWidth="1"/>
    <col min="6" max="6" width="16.7109375" style="2" bestFit="1" customWidth="1"/>
    <col min="7" max="7" width="13.421875" style="2" bestFit="1" customWidth="1"/>
    <col min="8" max="8" width="19.140625" style="2" bestFit="1" customWidth="1"/>
    <col min="9" max="9" width="16.28125" style="2" bestFit="1" customWidth="1"/>
    <col min="10" max="10" width="15.140625" style="2" bestFit="1" customWidth="1"/>
    <col min="11" max="11" width="15.421875" style="2" bestFit="1" customWidth="1"/>
    <col min="12" max="12" width="18.00390625" style="2" bestFit="1" customWidth="1"/>
    <col min="13" max="13" width="13.28125" style="4" customWidth="1"/>
    <col min="14" max="15" width="14.8515625" style="2" customWidth="1"/>
    <col min="16" max="16" width="15.140625" style="2" bestFit="1" customWidth="1"/>
    <col min="17" max="17" width="9.8515625" style="2" bestFit="1" customWidth="1"/>
    <col min="18" max="18" width="15.421875" style="2" customWidth="1"/>
    <col min="19" max="20" width="14.140625" style="176" customWidth="1"/>
    <col min="21" max="21" width="14.8515625" style="176" customWidth="1"/>
    <col min="22" max="22" width="10.7109375" style="176" bestFit="1" customWidth="1"/>
    <col min="23" max="24" width="10.00390625" style="176" customWidth="1"/>
    <col min="25" max="25" width="14.28125" style="176" customWidth="1"/>
    <col min="26" max="26" width="15.140625" style="176" customWidth="1"/>
    <col min="27" max="27" width="9.57421875" style="176" customWidth="1"/>
    <col min="28" max="28" width="14.140625" style="176" customWidth="1"/>
    <col min="29" max="29" width="14.421875" style="176" customWidth="1"/>
    <col min="30" max="30" width="13.8515625" style="176" customWidth="1"/>
    <col min="31" max="31" width="14.00390625" style="176" customWidth="1"/>
    <col min="32" max="32" width="10.57421875" style="176" customWidth="1"/>
    <col min="33" max="33" width="15.57421875" style="176" customWidth="1"/>
    <col min="34" max="34" width="9.421875" style="176" bestFit="1" customWidth="1"/>
    <col min="35" max="35" width="17.421875" style="176" customWidth="1"/>
    <col min="36" max="36" width="9.421875" style="176" bestFit="1" customWidth="1"/>
    <col min="37" max="37" width="18.8515625" style="176" customWidth="1"/>
    <col min="38" max="38" width="9.421875" style="176" bestFit="1" customWidth="1"/>
    <col min="39" max="39" width="17.28125" style="176" customWidth="1"/>
    <col min="40" max="40" width="9.421875" style="176" bestFit="1" customWidth="1"/>
    <col min="41" max="41" width="17.8515625" style="176" customWidth="1"/>
    <col min="42" max="42" width="9.421875" style="176" bestFit="1" customWidth="1"/>
    <col min="43" max="43" width="13.421875" style="176" bestFit="1" customWidth="1"/>
    <col min="44" max="44" width="5.7109375" style="176" bestFit="1" customWidth="1"/>
    <col min="45" max="45" width="16.28125" style="176" customWidth="1"/>
    <col min="46" max="46" width="8.140625" style="176" bestFit="1" customWidth="1"/>
    <col min="47" max="47" width="5.00390625" style="176" bestFit="1" customWidth="1"/>
    <col min="48" max="48" width="9.8515625" style="176" bestFit="1" customWidth="1"/>
    <col min="49" max="49" width="18.57421875" style="176" customWidth="1"/>
    <col min="50" max="50" width="8.421875" style="176" bestFit="1" customWidth="1"/>
    <col min="51" max="51" width="5.00390625" style="176" bestFit="1" customWidth="1"/>
    <col min="52" max="52" width="22.8515625" style="176" hidden="1" customWidth="1"/>
    <col min="53" max="53" width="17.140625" style="176" hidden="1" customWidth="1"/>
    <col min="54" max="54" width="22.28125" style="176" hidden="1" customWidth="1"/>
    <col min="55" max="55" width="22.7109375" style="176" hidden="1" customWidth="1"/>
    <col min="56" max="56" width="22.8515625" style="176" customWidth="1"/>
    <col min="57" max="57" width="5.8515625" style="225" bestFit="1" customWidth="1"/>
    <col min="58" max="60" width="9.140625" style="225" customWidth="1"/>
    <col min="155" max="16384" width="9.140625" style="2" customWidth="1"/>
  </cols>
  <sheetData>
    <row r="1" spans="1:56" ht="27" thickBot="1">
      <c r="A1" s="1336"/>
      <c r="B1" s="1337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326"/>
      <c r="T1" s="326"/>
      <c r="U1" s="327"/>
      <c r="V1" s="327"/>
      <c r="W1" s="327"/>
      <c r="X1" s="327"/>
      <c r="Y1" s="327"/>
      <c r="AB1" s="328"/>
      <c r="AC1" s="326"/>
      <c r="AD1" s="327"/>
      <c r="AE1" s="327"/>
      <c r="AF1" s="327"/>
      <c r="BD1" s="329"/>
    </row>
    <row r="2" spans="1:55" ht="1.5" customHeight="1" hidden="1">
      <c r="A2" s="1338"/>
      <c r="B2" s="1339"/>
      <c r="E2" s="2"/>
      <c r="M2" s="2"/>
      <c r="S2" s="330"/>
      <c r="T2" s="330"/>
      <c r="AC2" s="331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</row>
    <row r="3" spans="1:154" s="7" customFormat="1" ht="41.25" hidden="1" thickBot="1">
      <c r="A3" s="1345"/>
      <c r="B3" s="1346"/>
      <c r="C3" s="200" t="s">
        <v>169</v>
      </c>
      <c r="D3" s="103" t="s">
        <v>169</v>
      </c>
      <c r="E3" s="292" t="s">
        <v>234</v>
      </c>
      <c r="F3" s="149" t="s">
        <v>230</v>
      </c>
      <c r="G3" s="292" t="s">
        <v>235</v>
      </c>
      <c r="H3" s="149" t="s">
        <v>229</v>
      </c>
      <c r="I3" s="292" t="s">
        <v>236</v>
      </c>
      <c r="J3" s="149" t="s">
        <v>229</v>
      </c>
      <c r="K3" s="292" t="s">
        <v>237</v>
      </c>
      <c r="L3" s="93" t="s">
        <v>411</v>
      </c>
      <c r="M3" s="93" t="s">
        <v>412</v>
      </c>
      <c r="N3" s="293" t="s">
        <v>413</v>
      </c>
      <c r="O3" s="138" t="s">
        <v>409</v>
      </c>
      <c r="P3" s="152" t="s">
        <v>415</v>
      </c>
      <c r="Q3" s="294" t="s">
        <v>124</v>
      </c>
      <c r="R3" s="322" t="s">
        <v>414</v>
      </c>
      <c r="S3" s="333"/>
      <c r="T3" s="333"/>
      <c r="U3" s="333"/>
      <c r="V3" s="333"/>
      <c r="W3" s="333"/>
      <c r="X3" s="333"/>
      <c r="Y3" s="333"/>
      <c r="Z3" s="333"/>
      <c r="AA3" s="333"/>
      <c r="AB3" s="334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5"/>
      <c r="BF3" s="335"/>
      <c r="BG3" s="225"/>
      <c r="BH3" s="225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</row>
    <row r="4" spans="3:154" s="7" customFormat="1" ht="17.25" thickBot="1">
      <c r="C4" s="290"/>
      <c r="D4" s="393"/>
      <c r="E4" s="483">
        <v>0.22</v>
      </c>
      <c r="F4" s="367"/>
      <c r="G4" s="484">
        <v>0.06</v>
      </c>
      <c r="H4" s="394"/>
      <c r="I4" s="484">
        <v>1.5</v>
      </c>
      <c r="J4" s="367"/>
      <c r="K4" s="485">
        <v>0.6</v>
      </c>
      <c r="L4" s="486">
        <v>7500</v>
      </c>
      <c r="M4" s="486">
        <v>37500</v>
      </c>
      <c r="N4" s="487">
        <f>M4</f>
        <v>37500</v>
      </c>
      <c r="Q4" s="488">
        <f>3855*1</f>
        <v>3855</v>
      </c>
      <c r="S4" s="342"/>
      <c r="T4" s="489">
        <v>0.75</v>
      </c>
      <c r="U4" s="343"/>
      <c r="V4" s="344"/>
      <c r="W4" s="344"/>
      <c r="X4" s="344"/>
      <c r="Z4" s="23"/>
      <c r="AA4" s="23"/>
      <c r="AB4" s="490">
        <v>0.34</v>
      </c>
      <c r="AC4" s="23"/>
      <c r="AD4" s="491">
        <v>1.72</v>
      </c>
      <c r="AE4" s="703"/>
      <c r="AF4" s="23"/>
      <c r="AG4" s="23"/>
      <c r="AH4" s="23"/>
      <c r="AI4" s="1341" t="s">
        <v>692</v>
      </c>
      <c r="AJ4" s="1342"/>
      <c r="AK4" s="1342"/>
      <c r="AL4" s="1343"/>
      <c r="AM4" s="1347" t="s">
        <v>695</v>
      </c>
      <c r="AN4" s="1348"/>
      <c r="AO4" s="1348"/>
      <c r="AP4" s="1349"/>
      <c r="AQ4" s="23"/>
      <c r="AR4" s="23"/>
      <c r="AS4" s="23"/>
      <c r="AT4" s="23"/>
      <c r="AU4" s="23"/>
      <c r="AV4" s="23"/>
      <c r="AW4" s="23"/>
      <c r="AX4" s="23"/>
      <c r="AY4" s="23"/>
      <c r="AZ4" s="1332"/>
      <c r="BA4" s="1333"/>
      <c r="BB4" s="23"/>
      <c r="BC4" s="23"/>
      <c r="BD4" s="336"/>
      <c r="BE4" s="225"/>
      <c r="BF4" s="225"/>
      <c r="BG4" s="225"/>
      <c r="BH4" s="225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</row>
    <row r="5" spans="1:154" s="1" customFormat="1" ht="131.25" customHeight="1">
      <c r="A5" s="54" t="s">
        <v>408</v>
      </c>
      <c r="B5" s="54" t="s">
        <v>630</v>
      </c>
      <c r="C5" s="54" t="s">
        <v>701</v>
      </c>
      <c r="D5" s="54" t="s">
        <v>541</v>
      </c>
      <c r="E5" s="476" t="s">
        <v>490</v>
      </c>
      <c r="F5" s="54" t="s">
        <v>542</v>
      </c>
      <c r="G5" s="481" t="s">
        <v>476</v>
      </c>
      <c r="H5" s="54" t="s">
        <v>203</v>
      </c>
      <c r="I5" s="476" t="s">
        <v>491</v>
      </c>
      <c r="J5" s="54" t="s">
        <v>204</v>
      </c>
      <c r="K5" s="476" t="s">
        <v>492</v>
      </c>
      <c r="L5" s="492" t="s">
        <v>619</v>
      </c>
      <c r="M5" s="493" t="s">
        <v>618</v>
      </c>
      <c r="N5" s="476" t="s">
        <v>440</v>
      </c>
      <c r="O5" s="54" t="s">
        <v>493</v>
      </c>
      <c r="P5" s="54" t="s">
        <v>494</v>
      </c>
      <c r="Q5" s="476" t="s">
        <v>635</v>
      </c>
      <c r="R5" s="54" t="s">
        <v>449</v>
      </c>
      <c r="S5" s="360" t="s">
        <v>450</v>
      </c>
      <c r="T5" s="439" t="s">
        <v>636</v>
      </c>
      <c r="U5" s="361" t="s">
        <v>219</v>
      </c>
      <c r="V5" s="437" t="s">
        <v>624</v>
      </c>
      <c r="W5" s="440" t="s">
        <v>625</v>
      </c>
      <c r="X5" s="440" t="s">
        <v>462</v>
      </c>
      <c r="Y5" s="359" t="s">
        <v>637</v>
      </c>
      <c r="Z5" s="359" t="s">
        <v>638</v>
      </c>
      <c r="AA5" s="359" t="s">
        <v>639</v>
      </c>
      <c r="AB5" s="494" t="s">
        <v>451</v>
      </c>
      <c r="AC5" s="438" t="s">
        <v>441</v>
      </c>
      <c r="AD5" s="494" t="s">
        <v>452</v>
      </c>
      <c r="AE5" s="495" t="s">
        <v>216</v>
      </c>
      <c r="AF5" s="496" t="s">
        <v>281</v>
      </c>
      <c r="AG5" s="104" t="s">
        <v>215</v>
      </c>
      <c r="AH5" s="54" t="s">
        <v>640</v>
      </c>
      <c r="AI5" s="626" t="s">
        <v>91</v>
      </c>
      <c r="AJ5" s="476" t="s">
        <v>640</v>
      </c>
      <c r="AK5" s="626" t="s">
        <v>92</v>
      </c>
      <c r="AL5" s="476" t="s">
        <v>635</v>
      </c>
      <c r="AM5" s="626" t="s">
        <v>93</v>
      </c>
      <c r="AN5" s="476" t="s">
        <v>635</v>
      </c>
      <c r="AO5" s="626" t="s">
        <v>94</v>
      </c>
      <c r="AP5" s="476" t="s">
        <v>635</v>
      </c>
      <c r="AQ5" s="441" t="s">
        <v>22</v>
      </c>
      <c r="AR5" s="441" t="s">
        <v>422</v>
      </c>
      <c r="AS5" s="438" t="s">
        <v>217</v>
      </c>
      <c r="AT5" s="438" t="s">
        <v>635</v>
      </c>
      <c r="AU5" s="438" t="s">
        <v>463</v>
      </c>
      <c r="AV5" s="438" t="s">
        <v>464</v>
      </c>
      <c r="AW5" s="359" t="s">
        <v>83</v>
      </c>
      <c r="AX5" s="359" t="s">
        <v>635</v>
      </c>
      <c r="AY5" s="359" t="s">
        <v>422</v>
      </c>
      <c r="AZ5" s="369"/>
      <c r="BA5" s="369"/>
      <c r="BB5" s="359"/>
      <c r="BC5" s="359"/>
      <c r="BD5" s="227"/>
      <c r="BE5" s="227"/>
      <c r="BF5" s="225"/>
      <c r="BG5" s="225"/>
      <c r="BH5" s="22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</row>
    <row r="6" spans="1:154" s="288" customFormat="1" ht="12.75">
      <c r="A6" s="285"/>
      <c r="B6" s="285"/>
      <c r="C6" s="287">
        <v>1</v>
      </c>
      <c r="D6" s="286" t="s">
        <v>371</v>
      </c>
      <c r="E6" s="286">
        <v>2</v>
      </c>
      <c r="F6" s="286" t="s">
        <v>368</v>
      </c>
      <c r="G6" s="286">
        <v>3</v>
      </c>
      <c r="H6" s="286" t="s">
        <v>369</v>
      </c>
      <c r="I6" s="286">
        <v>4</v>
      </c>
      <c r="J6" s="286" t="s">
        <v>370</v>
      </c>
      <c r="K6" s="286">
        <v>5</v>
      </c>
      <c r="L6" s="286" t="s">
        <v>434</v>
      </c>
      <c r="M6" s="287" t="s">
        <v>166</v>
      </c>
      <c r="N6" s="286">
        <v>6</v>
      </c>
      <c r="O6" s="286">
        <f>N6+1</f>
        <v>7</v>
      </c>
      <c r="P6" s="286">
        <f>O6+1</f>
        <v>8</v>
      </c>
      <c r="Q6" s="286">
        <f>P6+1</f>
        <v>9</v>
      </c>
      <c r="R6" s="286">
        <f>Q6+1</f>
        <v>10</v>
      </c>
      <c r="S6" s="286">
        <f aca="true" t="shared" si="0" ref="S6:AY6">R6+1</f>
        <v>11</v>
      </c>
      <c r="T6" s="287" t="s">
        <v>456</v>
      </c>
      <c r="U6" s="286">
        <v>12</v>
      </c>
      <c r="V6" s="286">
        <f t="shared" si="0"/>
        <v>13</v>
      </c>
      <c r="W6" s="286">
        <f t="shared" si="0"/>
        <v>14</v>
      </c>
      <c r="X6" s="286">
        <f t="shared" si="0"/>
        <v>15</v>
      </c>
      <c r="Y6" s="286">
        <f t="shared" si="0"/>
        <v>16</v>
      </c>
      <c r="Z6" s="286">
        <f t="shared" si="0"/>
        <v>17</v>
      </c>
      <c r="AA6" s="286">
        <f t="shared" si="0"/>
        <v>18</v>
      </c>
      <c r="AB6" s="286">
        <f t="shared" si="0"/>
        <v>19</v>
      </c>
      <c r="AC6" s="286">
        <f t="shared" si="0"/>
        <v>20</v>
      </c>
      <c r="AD6" s="286">
        <f t="shared" si="0"/>
        <v>21</v>
      </c>
      <c r="AE6" s="286">
        <f t="shared" si="0"/>
        <v>22</v>
      </c>
      <c r="AF6" s="286">
        <f t="shared" si="0"/>
        <v>23</v>
      </c>
      <c r="AG6" s="286">
        <f t="shared" si="0"/>
        <v>24</v>
      </c>
      <c r="AH6" s="286">
        <f t="shared" si="0"/>
        <v>25</v>
      </c>
      <c r="AI6" s="286">
        <f t="shared" si="0"/>
        <v>26</v>
      </c>
      <c r="AJ6" s="286">
        <f t="shared" si="0"/>
        <v>27</v>
      </c>
      <c r="AK6" s="286">
        <f t="shared" si="0"/>
        <v>28</v>
      </c>
      <c r="AL6" s="286">
        <f t="shared" si="0"/>
        <v>29</v>
      </c>
      <c r="AM6" s="286">
        <f t="shared" si="0"/>
        <v>30</v>
      </c>
      <c r="AN6" s="286">
        <f t="shared" si="0"/>
        <v>31</v>
      </c>
      <c r="AO6" s="286">
        <f t="shared" si="0"/>
        <v>32</v>
      </c>
      <c r="AP6" s="286">
        <f t="shared" si="0"/>
        <v>33</v>
      </c>
      <c r="AQ6" s="286">
        <f t="shared" si="0"/>
        <v>34</v>
      </c>
      <c r="AR6" s="286">
        <f t="shared" si="0"/>
        <v>35</v>
      </c>
      <c r="AS6" s="286">
        <f t="shared" si="0"/>
        <v>36</v>
      </c>
      <c r="AT6" s="286">
        <f t="shared" si="0"/>
        <v>37</v>
      </c>
      <c r="AU6" s="286">
        <f t="shared" si="0"/>
        <v>38</v>
      </c>
      <c r="AV6" s="286">
        <f t="shared" si="0"/>
        <v>39</v>
      </c>
      <c r="AW6" s="286">
        <f t="shared" si="0"/>
        <v>40</v>
      </c>
      <c r="AX6" s="286">
        <f t="shared" si="0"/>
        <v>41</v>
      </c>
      <c r="AY6" s="286">
        <f t="shared" si="0"/>
        <v>42</v>
      </c>
      <c r="AZ6" s="286"/>
      <c r="BA6" s="286"/>
      <c r="BB6" s="286"/>
      <c r="BC6" s="286"/>
      <c r="BD6" s="337"/>
      <c r="BE6" s="337"/>
      <c r="BF6" s="338"/>
      <c r="BG6" s="338"/>
      <c r="BH6" s="338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</row>
    <row r="7" spans="1:57" ht="0.75" customHeight="1">
      <c r="A7" s="396"/>
      <c r="B7" s="397"/>
      <c r="C7" s="398">
        <v>39114</v>
      </c>
      <c r="D7" s="399" t="s">
        <v>301</v>
      </c>
      <c r="E7" s="398">
        <v>39114</v>
      </c>
      <c r="F7" s="399" t="s">
        <v>301</v>
      </c>
      <c r="G7" s="398">
        <v>38992</v>
      </c>
      <c r="H7" s="400" t="s">
        <v>301</v>
      </c>
      <c r="I7" s="398">
        <v>39114</v>
      </c>
      <c r="J7" s="400" t="s">
        <v>301</v>
      </c>
      <c r="K7" s="398">
        <v>39114</v>
      </c>
      <c r="L7" s="400" t="s">
        <v>301</v>
      </c>
      <c r="M7" s="401" t="s">
        <v>301</v>
      </c>
      <c r="N7" s="397"/>
      <c r="O7" s="397"/>
      <c r="P7" s="397"/>
      <c r="Q7" s="397"/>
      <c r="R7" s="397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E7" s="176"/>
    </row>
    <row r="8" spans="1:154" s="5" customFormat="1" ht="12.75">
      <c r="A8" s="126">
        <v>1</v>
      </c>
      <c r="B8" s="101" t="s">
        <v>302</v>
      </c>
      <c r="C8" s="14">
        <f>'Table 8 Membership, 2.1.09'!R5</f>
        <v>8939</v>
      </c>
      <c r="D8" s="14">
        <v>5645</v>
      </c>
      <c r="E8" s="14">
        <f aca="true" t="shared" si="1" ref="E8:E39">ROUND($E$4*D8,0)</f>
        <v>1242</v>
      </c>
      <c r="F8" s="14">
        <v>2783.5</v>
      </c>
      <c r="G8" s="14">
        <f aca="true" t="shared" si="2" ref="G8:G39">ROUND($G$4*F8,0)</f>
        <v>167</v>
      </c>
      <c r="H8" s="14">
        <v>1243</v>
      </c>
      <c r="I8" s="14">
        <f>ROUND($I$4*H8,0)</f>
        <v>1865</v>
      </c>
      <c r="J8" s="14">
        <v>78</v>
      </c>
      <c r="K8" s="14">
        <f>ROUND($K$4*J8,0)</f>
        <v>47</v>
      </c>
      <c r="L8" s="16">
        <f aca="true" t="shared" si="3" ref="L8:L39">IF(C8&lt;$L$4,$L$4-C8,0)</f>
        <v>0</v>
      </c>
      <c r="M8" s="84">
        <f aca="true" t="shared" si="4" ref="M8:M39">ROUND(L8/$M$4,5)</f>
        <v>0</v>
      </c>
      <c r="N8" s="14">
        <f aca="true" t="shared" si="5" ref="N8:N39">ROUND(C8*M8,0)</f>
        <v>0</v>
      </c>
      <c r="O8" s="14">
        <f>E8+G8+I8+K8+N8</f>
        <v>3321</v>
      </c>
      <c r="P8" s="14">
        <f aca="true" t="shared" si="6" ref="P8:P39">O8+C8</f>
        <v>12260</v>
      </c>
      <c r="Q8" s="519">
        <f>$Q$4</f>
        <v>3855</v>
      </c>
      <c r="R8" s="519">
        <f aca="true" t="shared" si="7" ref="R8:R39">ROUND(P8*Q8,0)</f>
        <v>47262300</v>
      </c>
      <c r="S8" s="519">
        <f>'Table 6 (Local Deduct Calc.)'!J9</f>
        <v>10947566</v>
      </c>
      <c r="T8" s="519">
        <f>IF((S8&gt;R8*$T$4),R8*$T$4,S8)</f>
        <v>10947566</v>
      </c>
      <c r="U8" s="520">
        <f>R8-T8</f>
        <v>36314734</v>
      </c>
      <c r="V8" s="521">
        <f>ROUND(U8/R8,4)</f>
        <v>0.7684</v>
      </c>
      <c r="W8" s="521">
        <f>ROUND(T8/R8,4)</f>
        <v>0.2316</v>
      </c>
      <c r="X8" s="522">
        <f>T8/C8</f>
        <v>1224.6969459671104</v>
      </c>
      <c r="Y8" s="519">
        <f>'Table 7 Local Revenue'!AQ8</f>
        <v>17897910</v>
      </c>
      <c r="Z8" s="519">
        <f>IF(Y8-T8&gt;0,Y8-T8,0)</f>
        <v>6950344</v>
      </c>
      <c r="AA8" s="380">
        <f>IF(Y8-S8&lt;0,Y8-S8,0)</f>
        <v>0</v>
      </c>
      <c r="AB8" s="15">
        <f>R8*$AB$4</f>
        <v>16069182.000000002</v>
      </c>
      <c r="AC8" s="15">
        <f>IF(Z8&lt;AB8,Z8,AB8)</f>
        <v>6950344</v>
      </c>
      <c r="AD8" s="519">
        <f>IF(AC8&gt;0,AC8*(W8*$AD$4),0)</f>
        <v>2768683.433088</v>
      </c>
      <c r="AE8" s="523">
        <f>IF(AC8-AD8&gt;AC8*$AE$4,AC8-AD8,AC8*$AE$4)</f>
        <v>4181660.566912</v>
      </c>
      <c r="AF8" s="17">
        <f>IF(AC8=0,0,ROUND(AE8/AC8,4))</f>
        <v>0.6016</v>
      </c>
      <c r="AG8" s="523">
        <f>U8+AE8</f>
        <v>40496394.566912</v>
      </c>
      <c r="AH8" s="15">
        <f>ROUND(AG8/C8,0)</f>
        <v>4530</v>
      </c>
      <c r="AI8" s="523">
        <f>'Table 4 Level 3'!T6</f>
        <v>4360967</v>
      </c>
      <c r="AJ8" s="15">
        <f aca="true" t="shared" si="8" ref="AJ8:AJ39">AI8/C8</f>
        <v>487.8584852891822</v>
      </c>
      <c r="AK8" s="523">
        <f>AI8+AG8</f>
        <v>44857361.566912</v>
      </c>
      <c r="AL8" s="15">
        <f>ROUND(AK8/C8,0)</f>
        <v>5018</v>
      </c>
      <c r="AM8" s="869">
        <f>'Table 4 Level 3'!AG6</f>
        <v>8051880.1</v>
      </c>
      <c r="AN8" s="870">
        <f>AM8/C8</f>
        <v>900.7584852891822</v>
      </c>
      <c r="AO8" s="523">
        <f>AG8+AM8</f>
        <v>48548274.666912004</v>
      </c>
      <c r="AP8" s="15">
        <f>AO8/C8</f>
        <v>5431.063280782191</v>
      </c>
      <c r="AQ8" s="17">
        <f>AO8/AW8</f>
        <v>0.7306405162355007</v>
      </c>
      <c r="AR8" s="524">
        <f>RANK(AQ8,$AQ$8:$AQ$76)</f>
        <v>14</v>
      </c>
      <c r="AS8" s="15">
        <f>ROUND(AC8+T8,2)</f>
        <v>17897910</v>
      </c>
      <c r="AT8" s="15">
        <f aca="true" t="shared" si="9" ref="AT8:AT39">ROUND(AS8/C8,2)</f>
        <v>2002.23</v>
      </c>
      <c r="AU8" s="524">
        <f>RANK(AT8,$AT$8:$AT$76)</f>
        <v>58</v>
      </c>
      <c r="AV8" s="17">
        <f>AS8/AW8</f>
        <v>0.2693594837644992</v>
      </c>
      <c r="AW8" s="524">
        <f>AS8+AO8</f>
        <v>66446184.666912004</v>
      </c>
      <c r="AX8" s="525">
        <f aca="true" t="shared" si="10" ref="AX8:AX39">AW8/C8</f>
        <v>7433.290599274193</v>
      </c>
      <c r="AY8" s="524">
        <f>RANK(AX8,$AX$8:$AX$76)</f>
        <v>66</v>
      </c>
      <c r="AZ8" s="15"/>
      <c r="BA8" s="380"/>
      <c r="BB8" s="524"/>
      <c r="BC8" s="524"/>
      <c r="BD8" s="319"/>
      <c r="BE8" s="216"/>
      <c r="BF8" s="225"/>
      <c r="BG8" s="225"/>
      <c r="BH8" s="225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</row>
    <row r="9" spans="1:154" s="5" customFormat="1" ht="12.75">
      <c r="A9" s="126">
        <v>2</v>
      </c>
      <c r="B9" s="101" t="s">
        <v>303</v>
      </c>
      <c r="C9" s="101">
        <f>'Table 8 Membership, 2.1.09'!R6</f>
        <v>3995</v>
      </c>
      <c r="D9" s="14">
        <v>2442</v>
      </c>
      <c r="E9" s="14">
        <f t="shared" si="1"/>
        <v>537</v>
      </c>
      <c r="F9" s="14">
        <v>1081.5</v>
      </c>
      <c r="G9" s="14">
        <f t="shared" si="2"/>
        <v>65</v>
      </c>
      <c r="H9" s="14">
        <v>461</v>
      </c>
      <c r="I9" s="14">
        <f aca="true" t="shared" si="11" ref="I9:I72">ROUND($I$4*H9,0)</f>
        <v>692</v>
      </c>
      <c r="J9" s="14">
        <v>46</v>
      </c>
      <c r="K9" s="14">
        <f aca="true" t="shared" si="12" ref="K9:K72">ROUND($K$4*J9,0)</f>
        <v>28</v>
      </c>
      <c r="L9" s="14">
        <f t="shared" si="3"/>
        <v>3505</v>
      </c>
      <c r="M9" s="84">
        <f t="shared" si="4"/>
        <v>0.09347</v>
      </c>
      <c r="N9" s="14">
        <f t="shared" si="5"/>
        <v>373</v>
      </c>
      <c r="O9" s="14">
        <f aca="true" t="shared" si="13" ref="O9:O72">E9+G9+I9+K9+N9</f>
        <v>1695</v>
      </c>
      <c r="P9" s="14">
        <f t="shared" si="6"/>
        <v>5690</v>
      </c>
      <c r="Q9" s="519">
        <f aca="true" t="shared" si="14" ref="Q9:Q72">$Q$4</f>
        <v>3855</v>
      </c>
      <c r="R9" s="519">
        <f t="shared" si="7"/>
        <v>21934950</v>
      </c>
      <c r="S9" s="519">
        <f>'Table 6 (Local Deduct Calc.)'!J10</f>
        <v>3849946</v>
      </c>
      <c r="T9" s="519">
        <f aca="true" t="shared" si="15" ref="T9:T72">IF((S9&gt;R9*$T$4),R9*$T$4,S9)</f>
        <v>3849946</v>
      </c>
      <c r="U9" s="520">
        <f aca="true" t="shared" si="16" ref="U9:U72">R9-T9</f>
        <v>18085004</v>
      </c>
      <c r="V9" s="521">
        <f>ROUND(U9/R9,4)</f>
        <v>0.8245</v>
      </c>
      <c r="W9" s="521">
        <f aca="true" t="shared" si="17" ref="W9:W72">ROUND(T9/R9,4)</f>
        <v>0.1755</v>
      </c>
      <c r="X9" s="522">
        <f aca="true" t="shared" si="18" ref="X9:X72">T9/C9</f>
        <v>963.6911138923655</v>
      </c>
      <c r="Y9" s="519">
        <f>'Table 7 Local Revenue'!AQ9</f>
        <v>11319726</v>
      </c>
      <c r="Z9" s="519">
        <f aca="true" t="shared" si="19" ref="Z9:Z72">IF(Y9-T9&gt;0,Y9-T9,0)</f>
        <v>7469780</v>
      </c>
      <c r="AA9" s="380">
        <f aca="true" t="shared" si="20" ref="AA9:AA72">IF(Y9-S9&lt;0,Y9-S9,0)</f>
        <v>0</v>
      </c>
      <c r="AB9" s="15">
        <f aca="true" t="shared" si="21" ref="AB9:AB72">R9*$AB$4</f>
        <v>7457883.000000001</v>
      </c>
      <c r="AC9" s="15">
        <f aca="true" t="shared" si="22" ref="AC9:AC72">IF(Z9&lt;AB9,Z9,AB9)</f>
        <v>7457883.000000001</v>
      </c>
      <c r="AD9" s="519">
        <f aca="true" t="shared" si="23" ref="AD9:AD72">IF(AC9&gt;0,AC9*(W9*$AD$4),0)</f>
        <v>2251236.56238</v>
      </c>
      <c r="AE9" s="523">
        <f aca="true" t="shared" si="24" ref="AE9:AE72">IF(AC9-AD9&gt;AC9*$AE$4,AC9-AD9,AC9*$AE$4)</f>
        <v>5206646.437620001</v>
      </c>
      <c r="AF9" s="17">
        <f aca="true" t="shared" si="25" ref="AF9:AF72">IF(AC9=0,0,ROUND(AE9/AC9,4))</f>
        <v>0.6981</v>
      </c>
      <c r="AG9" s="523">
        <f aca="true" t="shared" si="26" ref="AG9:AG72">U9+AE9</f>
        <v>23291650.43762</v>
      </c>
      <c r="AH9" s="15">
        <f aca="true" t="shared" si="27" ref="AH9:AH72">ROUND(AG9/C9,0)</f>
        <v>5830</v>
      </c>
      <c r="AI9" s="523">
        <f>'Table 4 Level 3'!T7</f>
        <v>1947356</v>
      </c>
      <c r="AJ9" s="15">
        <f t="shared" si="8"/>
        <v>487.448310387985</v>
      </c>
      <c r="AK9" s="523">
        <f aca="true" t="shared" si="28" ref="AK9:AK72">AI9+AG9</f>
        <v>25239006.43762</v>
      </c>
      <c r="AL9" s="15">
        <f aca="true" t="shared" si="29" ref="AL9:AL39">AK9/C9</f>
        <v>6317.648670242803</v>
      </c>
      <c r="AM9" s="869">
        <f>'Table 4 Level 3'!AG7</f>
        <v>3857565.25</v>
      </c>
      <c r="AN9" s="870">
        <f aca="true" t="shared" si="30" ref="AN9:AN72">AM9/C9</f>
        <v>965.598310387985</v>
      </c>
      <c r="AO9" s="523">
        <f aca="true" t="shared" si="31" ref="AO9:AO72">AG9+AM9</f>
        <v>27149215.68762</v>
      </c>
      <c r="AP9" s="15">
        <f aca="true" t="shared" si="32" ref="AP9:AP72">AO9/C9</f>
        <v>6795.798670242803</v>
      </c>
      <c r="AQ9" s="17">
        <f aca="true" t="shared" si="33" ref="AQ9:AQ72">AO9/AW9</f>
        <v>0.7059620911629699</v>
      </c>
      <c r="AR9" s="524">
        <f aca="true" t="shared" si="34" ref="AR9:AR72">RANK(AQ9,$AQ$8:$AQ$76)</f>
        <v>24</v>
      </c>
      <c r="AS9" s="15">
        <f aca="true" t="shared" si="35" ref="AS9:AS72">ROUND(AC9+T9,2)</f>
        <v>11307829</v>
      </c>
      <c r="AT9" s="15">
        <f t="shared" si="9"/>
        <v>2830.5</v>
      </c>
      <c r="AU9" s="524">
        <f aca="true" t="shared" si="36" ref="AU9:AU72">RANK(AT9,$AT$8:$AT$76)</f>
        <v>44</v>
      </c>
      <c r="AV9" s="17">
        <f aca="true" t="shared" si="37" ref="AV9:AV72">AS9/AW9</f>
        <v>0.29403790883703007</v>
      </c>
      <c r="AW9" s="524">
        <f aca="true" t="shared" si="38" ref="AW9:AW72">AS9+AO9</f>
        <v>38457044.68762</v>
      </c>
      <c r="AX9" s="525">
        <f t="shared" si="10"/>
        <v>9626.294039454318</v>
      </c>
      <c r="AY9" s="524">
        <f aca="true" t="shared" si="39" ref="AY9:AY72">RANK(AX9,$AX$8:$AX$76)</f>
        <v>8</v>
      </c>
      <c r="AZ9" s="15"/>
      <c r="BA9" s="380"/>
      <c r="BB9" s="524"/>
      <c r="BC9" s="524"/>
      <c r="BD9" s="319"/>
      <c r="BE9" s="216"/>
      <c r="BF9" s="225"/>
      <c r="BG9" s="225"/>
      <c r="BH9" s="225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</row>
    <row r="10" spans="1:154" s="5" customFormat="1" ht="12.75">
      <c r="A10" s="126">
        <v>3</v>
      </c>
      <c r="B10" s="101" t="s">
        <v>304</v>
      </c>
      <c r="C10" s="101">
        <f>'Table 8 Membership, 2.1.09'!R7</f>
        <v>18662</v>
      </c>
      <c r="D10" s="14">
        <v>7922</v>
      </c>
      <c r="E10" s="14">
        <f t="shared" si="1"/>
        <v>1743</v>
      </c>
      <c r="F10" s="14">
        <v>7146.5</v>
      </c>
      <c r="G10" s="14">
        <f t="shared" si="2"/>
        <v>429</v>
      </c>
      <c r="H10" s="14">
        <v>2309</v>
      </c>
      <c r="I10" s="14">
        <f t="shared" si="11"/>
        <v>3464</v>
      </c>
      <c r="J10" s="14">
        <v>376</v>
      </c>
      <c r="K10" s="14">
        <f t="shared" si="12"/>
        <v>226</v>
      </c>
      <c r="L10" s="14">
        <f t="shared" si="3"/>
        <v>0</v>
      </c>
      <c r="M10" s="84">
        <f t="shared" si="4"/>
        <v>0</v>
      </c>
      <c r="N10" s="14">
        <f t="shared" si="5"/>
        <v>0</v>
      </c>
      <c r="O10" s="14">
        <f t="shared" si="13"/>
        <v>5862</v>
      </c>
      <c r="P10" s="14">
        <f t="shared" si="6"/>
        <v>24524</v>
      </c>
      <c r="Q10" s="519">
        <f t="shared" si="14"/>
        <v>3855</v>
      </c>
      <c r="R10" s="519">
        <f t="shared" si="7"/>
        <v>94540020</v>
      </c>
      <c r="S10" s="519">
        <f>'Table 6 (Local Deduct Calc.)'!J11</f>
        <v>32816903</v>
      </c>
      <c r="T10" s="519">
        <f t="shared" si="15"/>
        <v>32816903</v>
      </c>
      <c r="U10" s="520">
        <f t="shared" si="16"/>
        <v>61723117</v>
      </c>
      <c r="V10" s="521">
        <f aca="true" t="shared" si="40" ref="V10:V72">ROUND(U10/R10,4)</f>
        <v>0.6529</v>
      </c>
      <c r="W10" s="521">
        <f t="shared" si="17"/>
        <v>0.3471</v>
      </c>
      <c r="X10" s="522">
        <f t="shared" si="18"/>
        <v>1758.4879969992498</v>
      </c>
      <c r="Y10" s="519">
        <f>'Table 7 Local Revenue'!AQ10</f>
        <v>84635948</v>
      </c>
      <c r="Z10" s="519">
        <f t="shared" si="19"/>
        <v>51819045</v>
      </c>
      <c r="AA10" s="380">
        <f t="shared" si="20"/>
        <v>0</v>
      </c>
      <c r="AB10" s="15">
        <f t="shared" si="21"/>
        <v>32143606.8</v>
      </c>
      <c r="AC10" s="15">
        <f t="shared" si="22"/>
        <v>32143606.8</v>
      </c>
      <c r="AD10" s="519">
        <f t="shared" si="23"/>
        <v>19190118.9828816</v>
      </c>
      <c r="AE10" s="523">
        <f t="shared" si="24"/>
        <v>12953487.817118403</v>
      </c>
      <c r="AF10" s="17">
        <f t="shared" si="25"/>
        <v>0.403</v>
      </c>
      <c r="AG10" s="523">
        <f t="shared" si="26"/>
        <v>74676604.8171184</v>
      </c>
      <c r="AH10" s="15">
        <f t="shared" si="27"/>
        <v>4002</v>
      </c>
      <c r="AI10" s="523">
        <f>'Table 4 Level 3'!T8</f>
        <v>6018466</v>
      </c>
      <c r="AJ10" s="15">
        <f t="shared" si="8"/>
        <v>322.49844604008143</v>
      </c>
      <c r="AK10" s="523">
        <f>AI10+AG10</f>
        <v>80695070.8171184</v>
      </c>
      <c r="AL10" s="15">
        <f t="shared" si="29"/>
        <v>4324.031230153168</v>
      </c>
      <c r="AM10" s="869">
        <f>'Table 4 Level 3'!AG8</f>
        <v>13438850.440000001</v>
      </c>
      <c r="AN10" s="870">
        <f t="shared" si="30"/>
        <v>720.1184460400815</v>
      </c>
      <c r="AO10" s="523">
        <f t="shared" si="31"/>
        <v>88115455.2571184</v>
      </c>
      <c r="AP10" s="15">
        <f t="shared" si="32"/>
        <v>4721.6512301531675</v>
      </c>
      <c r="AQ10" s="17">
        <f t="shared" si="33"/>
        <v>0.5756322047307636</v>
      </c>
      <c r="AR10" s="524">
        <f t="shared" si="34"/>
        <v>49</v>
      </c>
      <c r="AS10" s="15">
        <f t="shared" si="35"/>
        <v>64960509.8</v>
      </c>
      <c r="AT10" s="15">
        <f t="shared" si="9"/>
        <v>3480.9</v>
      </c>
      <c r="AU10" s="524">
        <f t="shared" si="36"/>
        <v>23</v>
      </c>
      <c r="AV10" s="17">
        <f t="shared" si="37"/>
        <v>0.4243677952692363</v>
      </c>
      <c r="AW10" s="524">
        <f t="shared" si="38"/>
        <v>153075965.05711842</v>
      </c>
      <c r="AX10" s="525">
        <f t="shared" si="10"/>
        <v>8202.548765251227</v>
      </c>
      <c r="AY10" s="524">
        <f t="shared" si="39"/>
        <v>54</v>
      </c>
      <c r="AZ10" s="15"/>
      <c r="BA10" s="380"/>
      <c r="BB10" s="524"/>
      <c r="BC10" s="524"/>
      <c r="BD10" s="319"/>
      <c r="BE10" s="216"/>
      <c r="BF10" s="225"/>
      <c r="BG10" s="225"/>
      <c r="BH10" s="225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</row>
    <row r="11" spans="1:154" s="5" customFormat="1" ht="12.75">
      <c r="A11" s="126">
        <v>4</v>
      </c>
      <c r="B11" s="101" t="s">
        <v>305</v>
      </c>
      <c r="C11" s="101">
        <f>'Table 8 Membership, 2.1.09'!R8</f>
        <v>3761</v>
      </c>
      <c r="D11" s="14">
        <v>2317</v>
      </c>
      <c r="E11" s="14">
        <f t="shared" si="1"/>
        <v>510</v>
      </c>
      <c r="F11" s="14">
        <v>1771</v>
      </c>
      <c r="G11" s="14">
        <f t="shared" si="2"/>
        <v>106</v>
      </c>
      <c r="H11" s="14">
        <v>542</v>
      </c>
      <c r="I11" s="14">
        <f t="shared" si="11"/>
        <v>813</v>
      </c>
      <c r="J11" s="14">
        <v>81</v>
      </c>
      <c r="K11" s="14">
        <f t="shared" si="12"/>
        <v>49</v>
      </c>
      <c r="L11" s="14">
        <f t="shared" si="3"/>
        <v>3739</v>
      </c>
      <c r="M11" s="84">
        <f t="shared" si="4"/>
        <v>0.09971</v>
      </c>
      <c r="N11" s="14">
        <f t="shared" si="5"/>
        <v>375</v>
      </c>
      <c r="O11" s="14">
        <f t="shared" si="13"/>
        <v>1853</v>
      </c>
      <c r="P11" s="14">
        <f t="shared" si="6"/>
        <v>5614</v>
      </c>
      <c r="Q11" s="519">
        <f t="shared" si="14"/>
        <v>3855</v>
      </c>
      <c r="R11" s="519">
        <f t="shared" si="7"/>
        <v>21641970</v>
      </c>
      <c r="S11" s="519">
        <f>'Table 6 (Local Deduct Calc.)'!J12</f>
        <v>4063308</v>
      </c>
      <c r="T11" s="519">
        <f t="shared" si="15"/>
        <v>4063308</v>
      </c>
      <c r="U11" s="520">
        <f t="shared" si="16"/>
        <v>17578662</v>
      </c>
      <c r="V11" s="521">
        <f t="shared" si="40"/>
        <v>0.8122</v>
      </c>
      <c r="W11" s="521">
        <f t="shared" si="17"/>
        <v>0.1878</v>
      </c>
      <c r="X11" s="522">
        <f t="shared" si="18"/>
        <v>1080.379686253656</v>
      </c>
      <c r="Y11" s="519">
        <f>'Table 7 Local Revenue'!AQ11</f>
        <v>10865304</v>
      </c>
      <c r="Z11" s="519">
        <f t="shared" si="19"/>
        <v>6801996</v>
      </c>
      <c r="AA11" s="380">
        <f t="shared" si="20"/>
        <v>0</v>
      </c>
      <c r="AB11" s="15">
        <f t="shared" si="21"/>
        <v>7358269.800000001</v>
      </c>
      <c r="AC11" s="15">
        <f t="shared" si="22"/>
        <v>6801996</v>
      </c>
      <c r="AD11" s="519">
        <f t="shared" si="23"/>
        <v>2197153.539936</v>
      </c>
      <c r="AE11" s="523">
        <f t="shared" si="24"/>
        <v>4604842.4600639995</v>
      </c>
      <c r="AF11" s="17">
        <f t="shared" si="25"/>
        <v>0.677</v>
      </c>
      <c r="AG11" s="523">
        <f t="shared" si="26"/>
        <v>22183504.460064</v>
      </c>
      <c r="AH11" s="15">
        <f t="shared" si="27"/>
        <v>5898</v>
      </c>
      <c r="AI11" s="523">
        <f>'Table 4 Level 3'!T9</f>
        <v>1420619</v>
      </c>
      <c r="AJ11" s="15">
        <f t="shared" si="8"/>
        <v>377.72374368519013</v>
      </c>
      <c r="AK11" s="523">
        <f t="shared" si="28"/>
        <v>23604123.460064</v>
      </c>
      <c r="AL11" s="15">
        <f t="shared" si="29"/>
        <v>6276.02325447062</v>
      </c>
      <c r="AM11" s="869">
        <f>'Table 4 Level 3'!AG9</f>
        <v>2706692.95</v>
      </c>
      <c r="AN11" s="870">
        <f t="shared" si="30"/>
        <v>719.6737436851902</v>
      </c>
      <c r="AO11" s="523">
        <f t="shared" si="31"/>
        <v>24890197.410064</v>
      </c>
      <c r="AP11" s="15">
        <f t="shared" si="32"/>
        <v>6617.973254470619</v>
      </c>
      <c r="AQ11" s="17">
        <f t="shared" si="33"/>
        <v>0.6961221750076823</v>
      </c>
      <c r="AR11" s="524">
        <f t="shared" si="34"/>
        <v>27</v>
      </c>
      <c r="AS11" s="15">
        <f t="shared" si="35"/>
        <v>10865304</v>
      </c>
      <c r="AT11" s="15">
        <f t="shared" si="9"/>
        <v>2888.94</v>
      </c>
      <c r="AU11" s="524">
        <f t="shared" si="36"/>
        <v>41</v>
      </c>
      <c r="AV11" s="17">
        <f t="shared" si="37"/>
        <v>0.3038778249923178</v>
      </c>
      <c r="AW11" s="524">
        <f t="shared" si="38"/>
        <v>35755501.410064</v>
      </c>
      <c r="AX11" s="525">
        <f t="shared" si="10"/>
        <v>9506.913429955863</v>
      </c>
      <c r="AY11" s="524">
        <f t="shared" si="39"/>
        <v>9</v>
      </c>
      <c r="AZ11" s="15"/>
      <c r="BA11" s="380"/>
      <c r="BB11" s="524"/>
      <c r="BC11" s="524"/>
      <c r="BD11" s="319"/>
      <c r="BE11" s="216"/>
      <c r="BF11" s="225"/>
      <c r="BG11" s="225"/>
      <c r="BH11" s="225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</row>
    <row r="12" spans="1:154" s="22" customFormat="1" ht="12.75">
      <c r="A12" s="127">
        <v>5</v>
      </c>
      <c r="B12" s="102" t="s">
        <v>306</v>
      </c>
      <c r="C12" s="102">
        <f>'Table 8 Membership, 2.1.09'!R9</f>
        <v>5917</v>
      </c>
      <c r="D12" s="20">
        <v>4906</v>
      </c>
      <c r="E12" s="20">
        <f t="shared" si="1"/>
        <v>1079</v>
      </c>
      <c r="F12" s="20">
        <v>2455.5</v>
      </c>
      <c r="G12" s="20">
        <f t="shared" si="2"/>
        <v>147</v>
      </c>
      <c r="H12" s="20">
        <v>656</v>
      </c>
      <c r="I12" s="20">
        <f t="shared" si="11"/>
        <v>984</v>
      </c>
      <c r="J12" s="20">
        <v>11</v>
      </c>
      <c r="K12" s="20">
        <f t="shared" si="12"/>
        <v>7</v>
      </c>
      <c r="L12" s="20">
        <f t="shared" si="3"/>
        <v>1583</v>
      </c>
      <c r="M12" s="85">
        <f t="shared" si="4"/>
        <v>0.04221</v>
      </c>
      <c r="N12" s="20">
        <f t="shared" si="5"/>
        <v>250</v>
      </c>
      <c r="O12" s="20">
        <f t="shared" si="13"/>
        <v>2467</v>
      </c>
      <c r="P12" s="14">
        <f t="shared" si="6"/>
        <v>8384</v>
      </c>
      <c r="Q12" s="526">
        <f t="shared" si="14"/>
        <v>3855</v>
      </c>
      <c r="R12" s="526">
        <f t="shared" si="7"/>
        <v>32320320</v>
      </c>
      <c r="S12" s="526">
        <f>'Table 6 (Local Deduct Calc.)'!J13</f>
        <v>5293406</v>
      </c>
      <c r="T12" s="526">
        <f t="shared" si="15"/>
        <v>5293406</v>
      </c>
      <c r="U12" s="527">
        <f t="shared" si="16"/>
        <v>27026914</v>
      </c>
      <c r="V12" s="528">
        <f t="shared" si="40"/>
        <v>0.8362</v>
      </c>
      <c r="W12" s="529">
        <f t="shared" si="17"/>
        <v>0.1638</v>
      </c>
      <c r="X12" s="530">
        <f t="shared" si="18"/>
        <v>894.6097684637485</v>
      </c>
      <c r="Y12" s="526">
        <f>'Table 7 Local Revenue'!AQ12</f>
        <v>7489065</v>
      </c>
      <c r="Z12" s="526">
        <f t="shared" si="19"/>
        <v>2195659</v>
      </c>
      <c r="AA12" s="381">
        <f t="shared" si="20"/>
        <v>0</v>
      </c>
      <c r="AB12" s="21">
        <f t="shared" si="21"/>
        <v>10988908.8</v>
      </c>
      <c r="AC12" s="21">
        <f t="shared" si="22"/>
        <v>2195659</v>
      </c>
      <c r="AD12" s="526">
        <f t="shared" si="23"/>
        <v>618596.184024</v>
      </c>
      <c r="AE12" s="531">
        <f t="shared" si="24"/>
        <v>1577062.815976</v>
      </c>
      <c r="AF12" s="374">
        <f t="shared" si="25"/>
        <v>0.7183</v>
      </c>
      <c r="AG12" s="531">
        <f t="shared" si="26"/>
        <v>28603976.815976</v>
      </c>
      <c r="AH12" s="21">
        <f t="shared" si="27"/>
        <v>4834</v>
      </c>
      <c r="AI12" s="531">
        <f>'Table 4 Level 3'!T10</f>
        <v>2474361</v>
      </c>
      <c r="AJ12" s="21">
        <f t="shared" si="8"/>
        <v>418.178299814095</v>
      </c>
      <c r="AK12" s="531">
        <f t="shared" si="28"/>
        <v>31078337.815976</v>
      </c>
      <c r="AL12" s="21">
        <f t="shared" si="29"/>
        <v>5252.380905184385</v>
      </c>
      <c r="AM12" s="871">
        <f>'Table 4 Level 3'!AG10</f>
        <v>4018757.1700000004</v>
      </c>
      <c r="AN12" s="872">
        <f t="shared" si="30"/>
        <v>679.1882998140951</v>
      </c>
      <c r="AO12" s="531">
        <f t="shared" si="31"/>
        <v>32622733.985976003</v>
      </c>
      <c r="AP12" s="21">
        <f t="shared" si="32"/>
        <v>5513.390905184385</v>
      </c>
      <c r="AQ12" s="374">
        <f t="shared" si="33"/>
        <v>0.8132952101545396</v>
      </c>
      <c r="AR12" s="532">
        <f t="shared" si="34"/>
        <v>2</v>
      </c>
      <c r="AS12" s="21">
        <f t="shared" si="35"/>
        <v>7489065</v>
      </c>
      <c r="AT12" s="21">
        <f t="shared" si="9"/>
        <v>1265.69</v>
      </c>
      <c r="AU12" s="532">
        <f t="shared" si="36"/>
        <v>68</v>
      </c>
      <c r="AV12" s="374">
        <f t="shared" si="37"/>
        <v>0.18670478984546038</v>
      </c>
      <c r="AW12" s="532">
        <f t="shared" si="38"/>
        <v>40111798.985976</v>
      </c>
      <c r="AX12" s="533">
        <f t="shared" si="10"/>
        <v>6779.077063710664</v>
      </c>
      <c r="AY12" s="532">
        <f t="shared" si="39"/>
        <v>69</v>
      </c>
      <c r="AZ12" s="21"/>
      <c r="BA12" s="381"/>
      <c r="BB12" s="532"/>
      <c r="BC12" s="532"/>
      <c r="BD12" s="319"/>
      <c r="BE12" s="216"/>
      <c r="BF12" s="225"/>
      <c r="BG12" s="225"/>
      <c r="BH12" s="225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</row>
    <row r="13" spans="1:154" s="5" customFormat="1" ht="12.75">
      <c r="A13" s="126">
        <v>6</v>
      </c>
      <c r="B13" s="101" t="s">
        <v>307</v>
      </c>
      <c r="C13" s="101">
        <f>'Table 8 Membership, 2.1.09'!R10</f>
        <v>5910</v>
      </c>
      <c r="D13" s="101">
        <v>3032</v>
      </c>
      <c r="E13" s="101">
        <f t="shared" si="1"/>
        <v>667</v>
      </c>
      <c r="F13" s="101">
        <v>1758.5</v>
      </c>
      <c r="G13" s="101">
        <f t="shared" si="2"/>
        <v>106</v>
      </c>
      <c r="H13" s="101">
        <v>928</v>
      </c>
      <c r="I13" s="101">
        <f t="shared" si="11"/>
        <v>1392</v>
      </c>
      <c r="J13" s="101">
        <v>95</v>
      </c>
      <c r="K13" s="14">
        <f t="shared" si="12"/>
        <v>57</v>
      </c>
      <c r="L13" s="14">
        <f t="shared" si="3"/>
        <v>1590</v>
      </c>
      <c r="M13" s="84">
        <f t="shared" si="4"/>
        <v>0.0424</v>
      </c>
      <c r="N13" s="14">
        <f t="shared" si="5"/>
        <v>251</v>
      </c>
      <c r="O13" s="14">
        <f t="shared" si="13"/>
        <v>2473</v>
      </c>
      <c r="P13" s="43">
        <f t="shared" si="6"/>
        <v>8383</v>
      </c>
      <c r="Q13" s="519">
        <f t="shared" si="14"/>
        <v>3855</v>
      </c>
      <c r="R13" s="519">
        <f t="shared" si="7"/>
        <v>32316465</v>
      </c>
      <c r="S13" s="519">
        <f>'Table 6 (Local Deduct Calc.)'!J14</f>
        <v>7592465</v>
      </c>
      <c r="T13" s="519">
        <f t="shared" si="15"/>
        <v>7592465</v>
      </c>
      <c r="U13" s="520">
        <f t="shared" si="16"/>
        <v>24724000</v>
      </c>
      <c r="V13" s="521">
        <f t="shared" si="40"/>
        <v>0.7651</v>
      </c>
      <c r="W13" s="521">
        <f t="shared" si="17"/>
        <v>0.2349</v>
      </c>
      <c r="X13" s="522">
        <f t="shared" si="18"/>
        <v>1284.681049069374</v>
      </c>
      <c r="Y13" s="519">
        <f>'Table 7 Local Revenue'!AQ13</f>
        <v>18218725</v>
      </c>
      <c r="Z13" s="519">
        <f t="shared" si="19"/>
        <v>10626260</v>
      </c>
      <c r="AA13" s="380">
        <f t="shared" si="20"/>
        <v>0</v>
      </c>
      <c r="AB13" s="15">
        <f t="shared" si="21"/>
        <v>10987598.100000001</v>
      </c>
      <c r="AC13" s="15">
        <f t="shared" si="22"/>
        <v>10626260</v>
      </c>
      <c r="AD13" s="519">
        <f t="shared" si="23"/>
        <v>4293306.5752799995</v>
      </c>
      <c r="AE13" s="523">
        <f t="shared" si="24"/>
        <v>6332953.4247200005</v>
      </c>
      <c r="AF13" s="17">
        <f t="shared" si="25"/>
        <v>0.596</v>
      </c>
      <c r="AG13" s="523">
        <f t="shared" si="26"/>
        <v>31056953.42472</v>
      </c>
      <c r="AH13" s="15">
        <f t="shared" si="27"/>
        <v>5255</v>
      </c>
      <c r="AI13" s="523">
        <f>'Table 4 Level 3'!T11</f>
        <v>2131786</v>
      </c>
      <c r="AJ13" s="15">
        <f t="shared" si="8"/>
        <v>360.7082910321489</v>
      </c>
      <c r="AK13" s="523">
        <f t="shared" si="28"/>
        <v>33188739.42472</v>
      </c>
      <c r="AL13" s="15">
        <f t="shared" si="29"/>
        <v>5615.691950037225</v>
      </c>
      <c r="AM13" s="869">
        <f>'Table 4 Level 3'!AG11</f>
        <v>3952361.5</v>
      </c>
      <c r="AN13" s="870">
        <f t="shared" si="30"/>
        <v>668.7582910321489</v>
      </c>
      <c r="AO13" s="523">
        <f t="shared" si="31"/>
        <v>35009314.924720004</v>
      </c>
      <c r="AP13" s="15">
        <f t="shared" si="32"/>
        <v>5923.741950037226</v>
      </c>
      <c r="AQ13" s="17">
        <f t="shared" si="33"/>
        <v>0.6577231657268124</v>
      </c>
      <c r="AR13" s="524">
        <f t="shared" si="34"/>
        <v>36</v>
      </c>
      <c r="AS13" s="15">
        <f t="shared" si="35"/>
        <v>18218725</v>
      </c>
      <c r="AT13" s="15">
        <f t="shared" si="9"/>
        <v>3082.69</v>
      </c>
      <c r="AU13" s="524">
        <f t="shared" si="36"/>
        <v>35</v>
      </c>
      <c r="AV13" s="17">
        <f t="shared" si="37"/>
        <v>0.34227683427318756</v>
      </c>
      <c r="AW13" s="524">
        <f t="shared" si="38"/>
        <v>53228039.924720004</v>
      </c>
      <c r="AX13" s="525">
        <f t="shared" si="10"/>
        <v>9006.436535485618</v>
      </c>
      <c r="AY13" s="524">
        <f t="shared" si="39"/>
        <v>20</v>
      </c>
      <c r="AZ13" s="15"/>
      <c r="BA13" s="380"/>
      <c r="BB13" s="524"/>
      <c r="BC13" s="524"/>
      <c r="BD13" s="319"/>
      <c r="BE13" s="216"/>
      <c r="BF13" s="225"/>
      <c r="BG13" s="225"/>
      <c r="BH13" s="225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</row>
    <row r="14" spans="1:154" s="5" customFormat="1" ht="12.75">
      <c r="A14" s="126">
        <v>7</v>
      </c>
      <c r="B14" s="101" t="s">
        <v>308</v>
      </c>
      <c r="C14" s="101">
        <f>'Table 8 Membership, 2.1.09'!R11</f>
        <v>2122</v>
      </c>
      <c r="D14" s="101">
        <v>1528</v>
      </c>
      <c r="E14" s="101">
        <f t="shared" si="1"/>
        <v>336</v>
      </c>
      <c r="F14" s="101">
        <v>690.5</v>
      </c>
      <c r="G14" s="101">
        <f t="shared" si="2"/>
        <v>41</v>
      </c>
      <c r="H14" s="101">
        <v>227</v>
      </c>
      <c r="I14" s="101">
        <f t="shared" si="11"/>
        <v>341</v>
      </c>
      <c r="J14" s="101">
        <v>8</v>
      </c>
      <c r="K14" s="14">
        <f t="shared" si="12"/>
        <v>5</v>
      </c>
      <c r="L14" s="14">
        <f t="shared" si="3"/>
        <v>5378</v>
      </c>
      <c r="M14" s="84">
        <f t="shared" si="4"/>
        <v>0.14341</v>
      </c>
      <c r="N14" s="14">
        <f t="shared" si="5"/>
        <v>304</v>
      </c>
      <c r="O14" s="14">
        <f t="shared" si="13"/>
        <v>1027</v>
      </c>
      <c r="P14" s="14">
        <f t="shared" si="6"/>
        <v>3149</v>
      </c>
      <c r="Q14" s="519">
        <f t="shared" si="14"/>
        <v>3855</v>
      </c>
      <c r="R14" s="519">
        <f t="shared" si="7"/>
        <v>12139395</v>
      </c>
      <c r="S14" s="519">
        <f>'Table 6 (Local Deduct Calc.)'!J15</f>
        <v>7018459</v>
      </c>
      <c r="T14" s="519">
        <f t="shared" si="15"/>
        <v>7018459</v>
      </c>
      <c r="U14" s="520">
        <f t="shared" si="16"/>
        <v>5120936</v>
      </c>
      <c r="V14" s="521">
        <f t="shared" si="40"/>
        <v>0.4218</v>
      </c>
      <c r="W14" s="521">
        <f t="shared" si="17"/>
        <v>0.5782</v>
      </c>
      <c r="X14" s="522">
        <f t="shared" si="18"/>
        <v>3307.4736098020735</v>
      </c>
      <c r="Y14" s="519">
        <f>'Table 7 Local Revenue'!AQ14</f>
        <v>19784327</v>
      </c>
      <c r="Z14" s="519">
        <f t="shared" si="19"/>
        <v>12765868</v>
      </c>
      <c r="AA14" s="380">
        <f t="shared" si="20"/>
        <v>0</v>
      </c>
      <c r="AB14" s="15">
        <f t="shared" si="21"/>
        <v>4127394.3000000003</v>
      </c>
      <c r="AC14" s="15">
        <f t="shared" si="22"/>
        <v>4127394.3000000003</v>
      </c>
      <c r="AD14" s="519">
        <f t="shared" si="23"/>
        <v>4104710.1409272007</v>
      </c>
      <c r="AE14" s="523">
        <f t="shared" si="24"/>
        <v>22684.159072799608</v>
      </c>
      <c r="AF14" s="17">
        <f t="shared" si="25"/>
        <v>0.0055</v>
      </c>
      <c r="AG14" s="523">
        <f t="shared" si="26"/>
        <v>5143620.1590728</v>
      </c>
      <c r="AH14" s="15">
        <f t="shared" si="27"/>
        <v>2424</v>
      </c>
      <c r="AI14" s="523">
        <f>'Table 4 Level 3'!T12</f>
        <v>810962</v>
      </c>
      <c r="AJ14" s="15">
        <f t="shared" si="8"/>
        <v>382.1687087653157</v>
      </c>
      <c r="AK14" s="523">
        <f t="shared" si="28"/>
        <v>5954582.1590728</v>
      </c>
      <c r="AL14" s="15">
        <f t="shared" si="29"/>
        <v>2806.1178883472194</v>
      </c>
      <c r="AM14" s="869">
        <f>'Table 4 Level 3'!AG12</f>
        <v>1867781.6600000001</v>
      </c>
      <c r="AN14" s="870">
        <f t="shared" si="30"/>
        <v>880.1987087653158</v>
      </c>
      <c r="AO14" s="523">
        <f t="shared" si="31"/>
        <v>7011401.8190728</v>
      </c>
      <c r="AP14" s="15">
        <f t="shared" si="32"/>
        <v>3304.1478883472196</v>
      </c>
      <c r="AQ14" s="17">
        <f t="shared" si="33"/>
        <v>0.3861487748612322</v>
      </c>
      <c r="AR14" s="524">
        <f t="shared" si="34"/>
        <v>68</v>
      </c>
      <c r="AS14" s="15">
        <f t="shared" si="35"/>
        <v>11145853.3</v>
      </c>
      <c r="AT14" s="15">
        <f t="shared" si="9"/>
        <v>5252.52</v>
      </c>
      <c r="AU14" s="524">
        <f t="shared" si="36"/>
        <v>5</v>
      </c>
      <c r="AV14" s="17">
        <f t="shared" si="37"/>
        <v>0.6138512251387677</v>
      </c>
      <c r="AW14" s="524">
        <f t="shared" si="38"/>
        <v>18157255.119072802</v>
      </c>
      <c r="AX14" s="525">
        <f t="shared" si="10"/>
        <v>8556.670649892932</v>
      </c>
      <c r="AY14" s="524">
        <f t="shared" si="39"/>
        <v>42</v>
      </c>
      <c r="AZ14" s="15"/>
      <c r="BA14" s="380"/>
      <c r="BB14" s="524"/>
      <c r="BC14" s="524"/>
      <c r="BD14" s="319"/>
      <c r="BE14" s="216"/>
      <c r="BF14" s="225"/>
      <c r="BG14" s="225"/>
      <c r="BH14" s="225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</row>
    <row r="15" spans="1:154" s="5" customFormat="1" ht="12.75">
      <c r="A15" s="126">
        <v>8</v>
      </c>
      <c r="B15" s="101" t="s">
        <v>309</v>
      </c>
      <c r="C15" s="101">
        <f>'Table 8 Membership, 2.1.09'!R12</f>
        <v>19282</v>
      </c>
      <c r="D15" s="101">
        <v>8655</v>
      </c>
      <c r="E15" s="101">
        <f t="shared" si="1"/>
        <v>1904</v>
      </c>
      <c r="F15" s="101">
        <v>5270.5</v>
      </c>
      <c r="G15" s="101">
        <f t="shared" si="2"/>
        <v>316</v>
      </c>
      <c r="H15" s="101">
        <v>2221</v>
      </c>
      <c r="I15" s="101">
        <f t="shared" si="11"/>
        <v>3332</v>
      </c>
      <c r="J15" s="101">
        <v>522</v>
      </c>
      <c r="K15" s="14">
        <f t="shared" si="12"/>
        <v>313</v>
      </c>
      <c r="L15" s="14">
        <f t="shared" si="3"/>
        <v>0</v>
      </c>
      <c r="M15" s="84">
        <f t="shared" si="4"/>
        <v>0</v>
      </c>
      <c r="N15" s="14">
        <f t="shared" si="5"/>
        <v>0</v>
      </c>
      <c r="O15" s="14">
        <f t="shared" si="13"/>
        <v>5865</v>
      </c>
      <c r="P15" s="14">
        <f t="shared" si="6"/>
        <v>25147</v>
      </c>
      <c r="Q15" s="519">
        <f t="shared" si="14"/>
        <v>3855</v>
      </c>
      <c r="R15" s="519">
        <f t="shared" si="7"/>
        <v>96941685</v>
      </c>
      <c r="S15" s="519">
        <f>'Table 6 (Local Deduct Calc.)'!J16</f>
        <v>31673761</v>
      </c>
      <c r="T15" s="519">
        <f t="shared" si="15"/>
        <v>31673761</v>
      </c>
      <c r="U15" s="520">
        <f t="shared" si="16"/>
        <v>65267924</v>
      </c>
      <c r="V15" s="521">
        <f t="shared" si="40"/>
        <v>0.6733</v>
      </c>
      <c r="W15" s="521">
        <f t="shared" si="17"/>
        <v>0.3267</v>
      </c>
      <c r="X15" s="522">
        <f t="shared" si="18"/>
        <v>1642.6595270200187</v>
      </c>
      <c r="Y15" s="519">
        <f>'Table 7 Local Revenue'!AQ15</f>
        <v>71598861</v>
      </c>
      <c r="Z15" s="519">
        <f t="shared" si="19"/>
        <v>39925100</v>
      </c>
      <c r="AA15" s="380">
        <f t="shared" si="20"/>
        <v>0</v>
      </c>
      <c r="AB15" s="15">
        <f t="shared" si="21"/>
        <v>32960172.900000002</v>
      </c>
      <c r="AC15" s="15">
        <f t="shared" si="22"/>
        <v>32960172.900000002</v>
      </c>
      <c r="AD15" s="519">
        <f t="shared" si="23"/>
        <v>18521112.196659602</v>
      </c>
      <c r="AE15" s="523">
        <f t="shared" si="24"/>
        <v>14439060.7033404</v>
      </c>
      <c r="AF15" s="17">
        <f t="shared" si="25"/>
        <v>0.4381</v>
      </c>
      <c r="AG15" s="523">
        <f t="shared" si="26"/>
        <v>79706984.7033404</v>
      </c>
      <c r="AH15" s="15">
        <f t="shared" si="27"/>
        <v>4134</v>
      </c>
      <c r="AI15" s="523">
        <f>'Table 4 Level 3'!T13</f>
        <v>9003293</v>
      </c>
      <c r="AJ15" s="15">
        <f t="shared" si="8"/>
        <v>466.9273415620786</v>
      </c>
      <c r="AK15" s="523">
        <f t="shared" si="28"/>
        <v>88710277.7033404</v>
      </c>
      <c r="AL15" s="15">
        <f t="shared" si="29"/>
        <v>4600.678233758967</v>
      </c>
      <c r="AM15" s="869">
        <f>'Table 4 Level 3'!AG13</f>
        <v>16451158.319999998</v>
      </c>
      <c r="AN15" s="870">
        <f t="shared" si="30"/>
        <v>853.1873415620786</v>
      </c>
      <c r="AO15" s="523">
        <f t="shared" si="31"/>
        <v>96158143.02334039</v>
      </c>
      <c r="AP15" s="15">
        <f t="shared" si="32"/>
        <v>4986.938233758966</v>
      </c>
      <c r="AQ15" s="17">
        <f t="shared" si="33"/>
        <v>0.5980278684327524</v>
      </c>
      <c r="AR15" s="524">
        <f t="shared" si="34"/>
        <v>45</v>
      </c>
      <c r="AS15" s="15">
        <f t="shared" si="35"/>
        <v>64633933.9</v>
      </c>
      <c r="AT15" s="15">
        <f t="shared" si="9"/>
        <v>3352.03</v>
      </c>
      <c r="AU15" s="524">
        <f t="shared" si="36"/>
        <v>25</v>
      </c>
      <c r="AV15" s="17">
        <f t="shared" si="37"/>
        <v>0.40197213156724776</v>
      </c>
      <c r="AW15" s="524">
        <f t="shared" si="38"/>
        <v>160792076.92334038</v>
      </c>
      <c r="AX15" s="525">
        <f t="shared" si="10"/>
        <v>8338.972976005622</v>
      </c>
      <c r="AY15" s="524">
        <f t="shared" si="39"/>
        <v>48</v>
      </c>
      <c r="AZ15" s="15"/>
      <c r="BA15" s="380"/>
      <c r="BB15" s="524"/>
      <c r="BC15" s="524"/>
      <c r="BD15" s="319"/>
      <c r="BE15" s="216"/>
      <c r="BF15" s="225"/>
      <c r="BG15" s="225"/>
      <c r="BH15" s="22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</row>
    <row r="16" spans="1:154" s="5" customFormat="1" ht="12.75">
      <c r="A16" s="126">
        <v>9</v>
      </c>
      <c r="B16" s="101" t="s">
        <v>310</v>
      </c>
      <c r="C16" s="101">
        <f>'Table 8 Membership, 2.1.09'!R13</f>
        <v>41370</v>
      </c>
      <c r="D16" s="101">
        <v>26745</v>
      </c>
      <c r="E16" s="101">
        <f t="shared" si="1"/>
        <v>5884</v>
      </c>
      <c r="F16" s="101">
        <v>8446</v>
      </c>
      <c r="G16" s="101">
        <f t="shared" si="2"/>
        <v>507</v>
      </c>
      <c r="H16" s="101">
        <v>4554</v>
      </c>
      <c r="I16" s="101">
        <f t="shared" si="11"/>
        <v>6831</v>
      </c>
      <c r="J16" s="101">
        <v>1735</v>
      </c>
      <c r="K16" s="14">
        <f t="shared" si="12"/>
        <v>1041</v>
      </c>
      <c r="L16" s="14">
        <f t="shared" si="3"/>
        <v>0</v>
      </c>
      <c r="M16" s="84">
        <f t="shared" si="4"/>
        <v>0</v>
      </c>
      <c r="N16" s="14">
        <f t="shared" si="5"/>
        <v>0</v>
      </c>
      <c r="O16" s="14">
        <f t="shared" si="13"/>
        <v>14263</v>
      </c>
      <c r="P16" s="14">
        <f t="shared" si="6"/>
        <v>55633</v>
      </c>
      <c r="Q16" s="519">
        <f t="shared" si="14"/>
        <v>3855</v>
      </c>
      <c r="R16" s="519">
        <f t="shared" si="7"/>
        <v>214465215</v>
      </c>
      <c r="S16" s="519">
        <f>'Table 6 (Local Deduct Calc.)'!J17</f>
        <v>65547003</v>
      </c>
      <c r="T16" s="519">
        <f t="shared" si="15"/>
        <v>65547003</v>
      </c>
      <c r="U16" s="520">
        <f t="shared" si="16"/>
        <v>148918212</v>
      </c>
      <c r="V16" s="521">
        <f t="shared" si="40"/>
        <v>0.6944</v>
      </c>
      <c r="W16" s="521">
        <f t="shared" si="17"/>
        <v>0.3056</v>
      </c>
      <c r="X16" s="522">
        <f t="shared" si="18"/>
        <v>1584.4090645395213</v>
      </c>
      <c r="Y16" s="519">
        <f>'Table 7 Local Revenue'!AQ16</f>
        <v>165436494</v>
      </c>
      <c r="Z16" s="519">
        <f t="shared" si="19"/>
        <v>99889491</v>
      </c>
      <c r="AA16" s="380">
        <f t="shared" si="20"/>
        <v>0</v>
      </c>
      <c r="AB16" s="15">
        <f t="shared" si="21"/>
        <v>72918173.10000001</v>
      </c>
      <c r="AC16" s="15">
        <f t="shared" si="22"/>
        <v>72918173.10000001</v>
      </c>
      <c r="AD16" s="519">
        <f t="shared" si="23"/>
        <v>38328125.1628992</v>
      </c>
      <c r="AE16" s="523">
        <f t="shared" si="24"/>
        <v>34590047.937100805</v>
      </c>
      <c r="AF16" s="17">
        <f t="shared" si="25"/>
        <v>0.4744</v>
      </c>
      <c r="AG16" s="523">
        <f t="shared" si="26"/>
        <v>183508259.9371008</v>
      </c>
      <c r="AH16" s="15">
        <f t="shared" si="27"/>
        <v>4436</v>
      </c>
      <c r="AI16" s="523">
        <f>'Table 4 Level 3'!T14</f>
        <v>18329238</v>
      </c>
      <c r="AJ16" s="15">
        <f t="shared" si="8"/>
        <v>443.0562726613488</v>
      </c>
      <c r="AK16" s="523">
        <f t="shared" si="28"/>
        <v>201837497.9371008</v>
      </c>
      <c r="AL16" s="15">
        <f t="shared" si="29"/>
        <v>4878.837271866106</v>
      </c>
      <c r="AM16" s="869">
        <f>'Table 4 Level 3'!AG14</f>
        <v>36130749</v>
      </c>
      <c r="AN16" s="870">
        <f t="shared" si="30"/>
        <v>873.3562726613488</v>
      </c>
      <c r="AO16" s="523">
        <f t="shared" si="31"/>
        <v>219639008.9371008</v>
      </c>
      <c r="AP16" s="15">
        <f t="shared" si="32"/>
        <v>5309.137271866106</v>
      </c>
      <c r="AQ16" s="17">
        <f t="shared" si="33"/>
        <v>0.6133382912415432</v>
      </c>
      <c r="AR16" s="524">
        <f t="shared" si="34"/>
        <v>43</v>
      </c>
      <c r="AS16" s="15">
        <f t="shared" si="35"/>
        <v>138465176.1</v>
      </c>
      <c r="AT16" s="15">
        <f t="shared" si="9"/>
        <v>3346.99</v>
      </c>
      <c r="AU16" s="524">
        <f t="shared" si="36"/>
        <v>27</v>
      </c>
      <c r="AV16" s="17">
        <f t="shared" si="37"/>
        <v>0.3866617087584568</v>
      </c>
      <c r="AW16" s="524">
        <f t="shared" si="38"/>
        <v>358104185.0371008</v>
      </c>
      <c r="AX16" s="525">
        <f t="shared" si="10"/>
        <v>8656.132101452762</v>
      </c>
      <c r="AY16" s="524">
        <f t="shared" si="39"/>
        <v>38</v>
      </c>
      <c r="AZ16" s="15"/>
      <c r="BA16" s="380"/>
      <c r="BB16" s="524"/>
      <c r="BC16" s="524"/>
      <c r="BD16" s="319"/>
      <c r="BE16" s="216"/>
      <c r="BF16" s="225"/>
      <c r="BG16" s="225"/>
      <c r="BH16" s="225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</row>
    <row r="17" spans="1:154" s="22" customFormat="1" ht="12.75">
      <c r="A17" s="127">
        <v>10</v>
      </c>
      <c r="B17" s="102" t="s">
        <v>311</v>
      </c>
      <c r="C17" s="102">
        <f>'Table 8 Membership, 2.1.09'!R14</f>
        <v>30882</v>
      </c>
      <c r="D17" s="102">
        <v>17858</v>
      </c>
      <c r="E17" s="102">
        <f t="shared" si="1"/>
        <v>3929</v>
      </c>
      <c r="F17" s="102">
        <v>8752.5</v>
      </c>
      <c r="G17" s="102">
        <f t="shared" si="2"/>
        <v>525</v>
      </c>
      <c r="H17" s="102">
        <v>5168</v>
      </c>
      <c r="I17" s="102">
        <f t="shared" si="11"/>
        <v>7752</v>
      </c>
      <c r="J17" s="102">
        <v>1076</v>
      </c>
      <c r="K17" s="20">
        <f t="shared" si="12"/>
        <v>646</v>
      </c>
      <c r="L17" s="20">
        <f t="shared" si="3"/>
        <v>0</v>
      </c>
      <c r="M17" s="85">
        <f t="shared" si="4"/>
        <v>0</v>
      </c>
      <c r="N17" s="20">
        <f t="shared" si="5"/>
        <v>0</v>
      </c>
      <c r="O17" s="20">
        <f t="shared" si="13"/>
        <v>12852</v>
      </c>
      <c r="P17" s="14">
        <f t="shared" si="6"/>
        <v>43734</v>
      </c>
      <c r="Q17" s="526">
        <f t="shared" si="14"/>
        <v>3855</v>
      </c>
      <c r="R17" s="526">
        <f t="shared" si="7"/>
        <v>168594570</v>
      </c>
      <c r="S17" s="526">
        <f>'Table 6 (Local Deduct Calc.)'!J18</f>
        <v>64444190</v>
      </c>
      <c r="T17" s="526">
        <f t="shared" si="15"/>
        <v>64444190</v>
      </c>
      <c r="U17" s="527">
        <f t="shared" si="16"/>
        <v>104150380</v>
      </c>
      <c r="V17" s="528">
        <f t="shared" si="40"/>
        <v>0.6178</v>
      </c>
      <c r="W17" s="529">
        <f t="shared" si="17"/>
        <v>0.3822</v>
      </c>
      <c r="X17" s="530">
        <f t="shared" si="18"/>
        <v>2086.7880966258663</v>
      </c>
      <c r="Y17" s="526">
        <f>'Table 7 Local Revenue'!AQ17</f>
        <v>134118655</v>
      </c>
      <c r="Z17" s="788">
        <f>IF(Y17-T17&gt;0,Y17-T17,0)-400480</f>
        <v>69273985</v>
      </c>
      <c r="AA17" s="381">
        <f t="shared" si="20"/>
        <v>0</v>
      </c>
      <c r="AB17" s="21">
        <f t="shared" si="21"/>
        <v>57322153.800000004</v>
      </c>
      <c r="AC17" s="21">
        <f t="shared" si="22"/>
        <v>57322153.800000004</v>
      </c>
      <c r="AD17" s="526">
        <f t="shared" si="23"/>
        <v>37682666.7536592</v>
      </c>
      <c r="AE17" s="531">
        <f t="shared" si="24"/>
        <v>19639487.0463408</v>
      </c>
      <c r="AF17" s="374">
        <f t="shared" si="25"/>
        <v>0.3426</v>
      </c>
      <c r="AG17" s="531">
        <f t="shared" si="26"/>
        <v>123789867.0463408</v>
      </c>
      <c r="AH17" s="21">
        <f t="shared" si="27"/>
        <v>4008</v>
      </c>
      <c r="AI17" s="531">
        <f>'Table 4 Level 3'!T15</f>
        <v>12121994</v>
      </c>
      <c r="AJ17" s="21">
        <f t="shared" si="8"/>
        <v>392.5261964898647</v>
      </c>
      <c r="AK17" s="531">
        <f t="shared" si="28"/>
        <v>135911861.0463408</v>
      </c>
      <c r="AL17" s="21">
        <f t="shared" si="29"/>
        <v>4401.005797757295</v>
      </c>
      <c r="AM17" s="871">
        <f>'Table 4 Level 3'!AG15</f>
        <v>23024575.279999997</v>
      </c>
      <c r="AN17" s="872">
        <f t="shared" si="30"/>
        <v>745.5661964898645</v>
      </c>
      <c r="AO17" s="531">
        <f t="shared" si="31"/>
        <v>146814442.3263408</v>
      </c>
      <c r="AP17" s="21">
        <f t="shared" si="32"/>
        <v>4754.045797757295</v>
      </c>
      <c r="AQ17" s="374">
        <f t="shared" si="33"/>
        <v>0.5466304736232288</v>
      </c>
      <c r="AR17" s="532">
        <f t="shared" si="34"/>
        <v>54</v>
      </c>
      <c r="AS17" s="21">
        <f t="shared" si="35"/>
        <v>121766343.8</v>
      </c>
      <c r="AT17" s="21">
        <f t="shared" si="9"/>
        <v>3942.96</v>
      </c>
      <c r="AU17" s="532">
        <f t="shared" si="36"/>
        <v>19</v>
      </c>
      <c r="AV17" s="374">
        <f t="shared" si="37"/>
        <v>0.45336952637677114</v>
      </c>
      <c r="AW17" s="532">
        <f t="shared" si="38"/>
        <v>268580786.1263408</v>
      </c>
      <c r="AX17" s="533">
        <f t="shared" si="10"/>
        <v>8697.0010402934</v>
      </c>
      <c r="AY17" s="532">
        <f t="shared" si="39"/>
        <v>36</v>
      </c>
      <c r="AZ17" s="21"/>
      <c r="BA17" s="381"/>
      <c r="BB17" s="532"/>
      <c r="BC17" s="532"/>
      <c r="BD17" s="319"/>
      <c r="BE17" s="216"/>
      <c r="BF17" s="225"/>
      <c r="BG17" s="225"/>
      <c r="BH17" s="225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</row>
    <row r="18" spans="1:154" s="5" customFormat="1" ht="12.75">
      <c r="A18" s="126">
        <v>11</v>
      </c>
      <c r="B18" s="101" t="s">
        <v>312</v>
      </c>
      <c r="C18" s="101">
        <f>'Table 8 Membership, 2.1.09'!R15</f>
        <v>1633</v>
      </c>
      <c r="D18" s="101">
        <v>1095</v>
      </c>
      <c r="E18" s="101">
        <f t="shared" si="1"/>
        <v>241</v>
      </c>
      <c r="F18" s="101">
        <v>861</v>
      </c>
      <c r="G18" s="101">
        <f t="shared" si="2"/>
        <v>52</v>
      </c>
      <c r="H18" s="101">
        <v>245</v>
      </c>
      <c r="I18" s="101">
        <f t="shared" si="11"/>
        <v>368</v>
      </c>
      <c r="J18" s="101">
        <v>36</v>
      </c>
      <c r="K18" s="14">
        <f t="shared" si="12"/>
        <v>22</v>
      </c>
      <c r="L18" s="14">
        <f t="shared" si="3"/>
        <v>5867</v>
      </c>
      <c r="M18" s="84">
        <f t="shared" si="4"/>
        <v>0.15645</v>
      </c>
      <c r="N18" s="14">
        <f t="shared" si="5"/>
        <v>255</v>
      </c>
      <c r="O18" s="14">
        <f t="shared" si="13"/>
        <v>938</v>
      </c>
      <c r="P18" s="43">
        <f t="shared" si="6"/>
        <v>2571</v>
      </c>
      <c r="Q18" s="519">
        <f t="shared" si="14"/>
        <v>3855</v>
      </c>
      <c r="R18" s="519">
        <f t="shared" si="7"/>
        <v>9911205</v>
      </c>
      <c r="S18" s="519">
        <f>'Table 6 (Local Deduct Calc.)'!J19</f>
        <v>1680348</v>
      </c>
      <c r="T18" s="519">
        <f t="shared" si="15"/>
        <v>1680348</v>
      </c>
      <c r="U18" s="520">
        <f t="shared" si="16"/>
        <v>8230857</v>
      </c>
      <c r="V18" s="521">
        <f t="shared" si="40"/>
        <v>0.8305</v>
      </c>
      <c r="W18" s="521">
        <f t="shared" si="17"/>
        <v>0.1695</v>
      </c>
      <c r="X18" s="522">
        <f t="shared" si="18"/>
        <v>1028.9944886711573</v>
      </c>
      <c r="Y18" s="519">
        <f>'Table 7 Local Revenue'!AQ18</f>
        <v>3423602</v>
      </c>
      <c r="Z18" s="519">
        <f t="shared" si="19"/>
        <v>1743254</v>
      </c>
      <c r="AA18" s="380">
        <f t="shared" si="20"/>
        <v>0</v>
      </c>
      <c r="AB18" s="15">
        <f t="shared" si="21"/>
        <v>3369809.7</v>
      </c>
      <c r="AC18" s="15">
        <f t="shared" si="22"/>
        <v>1743254</v>
      </c>
      <c r="AD18" s="519">
        <f t="shared" si="23"/>
        <v>508228.27116000006</v>
      </c>
      <c r="AE18" s="523">
        <f t="shared" si="24"/>
        <v>1235025.72884</v>
      </c>
      <c r="AF18" s="17">
        <f t="shared" si="25"/>
        <v>0.7085</v>
      </c>
      <c r="AG18" s="523">
        <f t="shared" si="26"/>
        <v>9465882.72884</v>
      </c>
      <c r="AH18" s="15">
        <f t="shared" si="27"/>
        <v>5797</v>
      </c>
      <c r="AI18" s="523">
        <f>'Table 4 Level 3'!T16</f>
        <v>662849</v>
      </c>
      <c r="AJ18" s="15">
        <f t="shared" si="8"/>
        <v>405.90875688916105</v>
      </c>
      <c r="AK18" s="523">
        <f t="shared" si="28"/>
        <v>10128731.72884</v>
      </c>
      <c r="AL18" s="15">
        <f t="shared" si="29"/>
        <v>6202.53014625842</v>
      </c>
      <c r="AM18" s="869">
        <f>'Table 4 Level 3'!AG16</f>
        <v>1355110.36</v>
      </c>
      <c r="AN18" s="870">
        <f t="shared" si="30"/>
        <v>829.8287568891611</v>
      </c>
      <c r="AO18" s="523">
        <f t="shared" si="31"/>
        <v>10820993.08884</v>
      </c>
      <c r="AP18" s="15">
        <f t="shared" si="32"/>
        <v>6626.45014625842</v>
      </c>
      <c r="AQ18" s="17">
        <f t="shared" si="33"/>
        <v>0.7596560675366449</v>
      </c>
      <c r="AR18" s="524">
        <f t="shared" si="34"/>
        <v>10</v>
      </c>
      <c r="AS18" s="15">
        <f t="shared" si="35"/>
        <v>3423602</v>
      </c>
      <c r="AT18" s="15">
        <f t="shared" si="9"/>
        <v>2096.51</v>
      </c>
      <c r="AU18" s="524">
        <f t="shared" si="36"/>
        <v>56</v>
      </c>
      <c r="AV18" s="17">
        <f t="shared" si="37"/>
        <v>0.24034393246335506</v>
      </c>
      <c r="AW18" s="524">
        <f t="shared" si="38"/>
        <v>14244595.08884</v>
      </c>
      <c r="AX18" s="525">
        <f t="shared" si="10"/>
        <v>8722.96086273117</v>
      </c>
      <c r="AY18" s="524">
        <f t="shared" si="39"/>
        <v>33</v>
      </c>
      <c r="AZ18" s="15"/>
      <c r="BA18" s="380"/>
      <c r="BB18" s="524"/>
      <c r="BC18" s="524"/>
      <c r="BD18" s="319"/>
      <c r="BE18" s="216"/>
      <c r="BF18" s="225"/>
      <c r="BG18" s="225"/>
      <c r="BH18" s="225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</row>
    <row r="19" spans="1:154" s="5" customFormat="1" ht="12.75">
      <c r="A19" s="126">
        <v>12</v>
      </c>
      <c r="B19" s="101" t="s">
        <v>313</v>
      </c>
      <c r="C19" s="101">
        <f>'Table 8 Membership, 2.1.09'!R16</f>
        <v>1307</v>
      </c>
      <c r="D19" s="101">
        <v>827</v>
      </c>
      <c r="E19" s="101">
        <f t="shared" si="1"/>
        <v>182</v>
      </c>
      <c r="F19" s="101">
        <v>422</v>
      </c>
      <c r="G19" s="101">
        <f t="shared" si="2"/>
        <v>25</v>
      </c>
      <c r="H19" s="101">
        <v>196</v>
      </c>
      <c r="I19" s="101">
        <f t="shared" si="11"/>
        <v>294</v>
      </c>
      <c r="J19" s="101">
        <v>109</v>
      </c>
      <c r="K19" s="14">
        <f t="shared" si="12"/>
        <v>65</v>
      </c>
      <c r="L19" s="14">
        <f t="shared" si="3"/>
        <v>6193</v>
      </c>
      <c r="M19" s="84">
        <f t="shared" si="4"/>
        <v>0.16515</v>
      </c>
      <c r="N19" s="14">
        <f t="shared" si="5"/>
        <v>216</v>
      </c>
      <c r="O19" s="14">
        <f t="shared" si="13"/>
        <v>782</v>
      </c>
      <c r="P19" s="14">
        <f t="shared" si="6"/>
        <v>2089</v>
      </c>
      <c r="Q19" s="519">
        <f t="shared" si="14"/>
        <v>3855</v>
      </c>
      <c r="R19" s="519">
        <f t="shared" si="7"/>
        <v>8053095</v>
      </c>
      <c r="S19" s="519">
        <f>'Table 6 (Local Deduct Calc.)'!J20</f>
        <v>4638891</v>
      </c>
      <c r="T19" s="519">
        <f t="shared" si="15"/>
        <v>4638891</v>
      </c>
      <c r="U19" s="520">
        <f t="shared" si="16"/>
        <v>3414204</v>
      </c>
      <c r="V19" s="521">
        <f t="shared" si="40"/>
        <v>0.424</v>
      </c>
      <c r="W19" s="521">
        <f t="shared" si="17"/>
        <v>0.576</v>
      </c>
      <c r="X19" s="522">
        <f t="shared" si="18"/>
        <v>3549.266258607498</v>
      </c>
      <c r="Y19" s="519">
        <f>'Table 7 Local Revenue'!AQ19</f>
        <v>13175514</v>
      </c>
      <c r="Z19" s="519">
        <f t="shared" si="19"/>
        <v>8536623</v>
      </c>
      <c r="AA19" s="380">
        <f t="shared" si="20"/>
        <v>0</v>
      </c>
      <c r="AB19" s="15">
        <f t="shared" si="21"/>
        <v>2738052.3000000003</v>
      </c>
      <c r="AC19" s="15">
        <f t="shared" si="22"/>
        <v>2738052.3000000003</v>
      </c>
      <c r="AD19" s="519">
        <f t="shared" si="23"/>
        <v>2712643.174656</v>
      </c>
      <c r="AE19" s="523">
        <f t="shared" si="24"/>
        <v>25409.12534400029</v>
      </c>
      <c r="AF19" s="17">
        <f t="shared" si="25"/>
        <v>0.0093</v>
      </c>
      <c r="AG19" s="523">
        <f t="shared" si="26"/>
        <v>3439613.1253440003</v>
      </c>
      <c r="AH19" s="15">
        <f t="shared" si="27"/>
        <v>2632</v>
      </c>
      <c r="AI19" s="523">
        <f>'Table 4 Level 3'!T17</f>
        <v>787926</v>
      </c>
      <c r="AJ19" s="15">
        <f t="shared" si="8"/>
        <v>602.8508033664881</v>
      </c>
      <c r="AK19" s="523">
        <f t="shared" si="28"/>
        <v>4227539.125344001</v>
      </c>
      <c r="AL19" s="15">
        <f t="shared" si="29"/>
        <v>3234.536438671768</v>
      </c>
      <c r="AM19" s="869">
        <f>'Table 4 Level 3'!AG17</f>
        <v>1570871.28</v>
      </c>
      <c r="AN19" s="870">
        <f t="shared" si="30"/>
        <v>1201.8908033664882</v>
      </c>
      <c r="AO19" s="523">
        <f t="shared" si="31"/>
        <v>5010484.405344</v>
      </c>
      <c r="AP19" s="15">
        <f t="shared" si="32"/>
        <v>3833.5764386717674</v>
      </c>
      <c r="AQ19" s="17">
        <f t="shared" si="33"/>
        <v>0.40448142459652475</v>
      </c>
      <c r="AR19" s="524">
        <f t="shared" si="34"/>
        <v>66</v>
      </c>
      <c r="AS19" s="15">
        <f t="shared" si="35"/>
        <v>7376943.3</v>
      </c>
      <c r="AT19" s="15">
        <f t="shared" si="9"/>
        <v>5644.18</v>
      </c>
      <c r="AU19" s="524">
        <f t="shared" si="36"/>
        <v>2</v>
      </c>
      <c r="AV19" s="17">
        <f t="shared" si="37"/>
        <v>0.5955185754034753</v>
      </c>
      <c r="AW19" s="524">
        <f t="shared" si="38"/>
        <v>12387427.705343999</v>
      </c>
      <c r="AX19" s="525">
        <f t="shared" si="10"/>
        <v>9477.756469276204</v>
      </c>
      <c r="AY19" s="524">
        <f t="shared" si="39"/>
        <v>10</v>
      </c>
      <c r="AZ19" s="15"/>
      <c r="BA19" s="380"/>
      <c r="BB19" s="524"/>
      <c r="BC19" s="524"/>
      <c r="BD19" s="319"/>
      <c r="BE19" s="216"/>
      <c r="BF19" s="225"/>
      <c r="BG19" s="225"/>
      <c r="BH19" s="225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</row>
    <row r="20" spans="1:154" s="5" customFormat="1" ht="12.75">
      <c r="A20" s="126">
        <v>13</v>
      </c>
      <c r="B20" s="101" t="s">
        <v>314</v>
      </c>
      <c r="C20" s="101">
        <f>'Table 8 Membership, 2.1.09'!R17</f>
        <v>1609</v>
      </c>
      <c r="D20" s="101">
        <v>1228</v>
      </c>
      <c r="E20" s="101">
        <f t="shared" si="1"/>
        <v>270</v>
      </c>
      <c r="F20" s="101">
        <v>539.5</v>
      </c>
      <c r="G20" s="101">
        <f t="shared" si="2"/>
        <v>32</v>
      </c>
      <c r="H20" s="101">
        <v>164</v>
      </c>
      <c r="I20" s="101">
        <f t="shared" si="11"/>
        <v>246</v>
      </c>
      <c r="J20" s="101">
        <v>29</v>
      </c>
      <c r="K20" s="14">
        <f t="shared" si="12"/>
        <v>17</v>
      </c>
      <c r="L20" s="14">
        <f t="shared" si="3"/>
        <v>5891</v>
      </c>
      <c r="M20" s="84">
        <f t="shared" si="4"/>
        <v>0.15709</v>
      </c>
      <c r="N20" s="14">
        <f t="shared" si="5"/>
        <v>253</v>
      </c>
      <c r="O20" s="14">
        <f t="shared" si="13"/>
        <v>818</v>
      </c>
      <c r="P20" s="14">
        <f t="shared" si="6"/>
        <v>2427</v>
      </c>
      <c r="Q20" s="519">
        <f t="shared" si="14"/>
        <v>3855</v>
      </c>
      <c r="R20" s="519">
        <f t="shared" si="7"/>
        <v>9356085</v>
      </c>
      <c r="S20" s="519">
        <f>'Table 6 (Local Deduct Calc.)'!J21</f>
        <v>1525978</v>
      </c>
      <c r="T20" s="519">
        <f t="shared" si="15"/>
        <v>1525978</v>
      </c>
      <c r="U20" s="520">
        <f t="shared" si="16"/>
        <v>7830107</v>
      </c>
      <c r="V20" s="521">
        <f t="shared" si="40"/>
        <v>0.8369</v>
      </c>
      <c r="W20" s="521">
        <f t="shared" si="17"/>
        <v>0.1631</v>
      </c>
      <c r="X20" s="522">
        <f t="shared" si="18"/>
        <v>948.4014916096954</v>
      </c>
      <c r="Y20" s="519">
        <f>'Table 7 Local Revenue'!AQ20</f>
        <v>2831105</v>
      </c>
      <c r="Z20" s="519">
        <f t="shared" si="19"/>
        <v>1305127</v>
      </c>
      <c r="AA20" s="380">
        <f t="shared" si="20"/>
        <v>0</v>
      </c>
      <c r="AB20" s="15">
        <f t="shared" si="21"/>
        <v>3181068.9000000004</v>
      </c>
      <c r="AC20" s="15">
        <f t="shared" si="22"/>
        <v>1305127</v>
      </c>
      <c r="AD20" s="519">
        <f t="shared" si="23"/>
        <v>366129.88756400003</v>
      </c>
      <c r="AE20" s="523">
        <f t="shared" si="24"/>
        <v>938997.112436</v>
      </c>
      <c r="AF20" s="17">
        <f t="shared" si="25"/>
        <v>0.7195</v>
      </c>
      <c r="AG20" s="523">
        <f t="shared" si="26"/>
        <v>8769104.112436</v>
      </c>
      <c r="AH20" s="15">
        <f t="shared" si="27"/>
        <v>5450</v>
      </c>
      <c r="AI20" s="523">
        <f>'Table 4 Level 3'!T18</f>
        <v>692897</v>
      </c>
      <c r="AJ20" s="15">
        <f t="shared" si="8"/>
        <v>430.63828464885023</v>
      </c>
      <c r="AK20" s="523">
        <f t="shared" si="28"/>
        <v>9462001.112436</v>
      </c>
      <c r="AL20" s="15">
        <f t="shared" si="29"/>
        <v>5880.671915746427</v>
      </c>
      <c r="AM20" s="869">
        <f>'Table 4 Level 3'!AG18</f>
        <v>1404187.63</v>
      </c>
      <c r="AN20" s="870">
        <f t="shared" si="30"/>
        <v>872.7082846488502</v>
      </c>
      <c r="AO20" s="523">
        <f t="shared" si="31"/>
        <v>10173291.742436</v>
      </c>
      <c r="AP20" s="15">
        <f t="shared" si="32"/>
        <v>6322.741915746426</v>
      </c>
      <c r="AQ20" s="17">
        <f t="shared" si="33"/>
        <v>0.7822963220768614</v>
      </c>
      <c r="AR20" s="524">
        <f t="shared" si="34"/>
        <v>6</v>
      </c>
      <c r="AS20" s="15">
        <f t="shared" si="35"/>
        <v>2831105</v>
      </c>
      <c r="AT20" s="15">
        <f t="shared" si="9"/>
        <v>1759.54</v>
      </c>
      <c r="AU20" s="524">
        <f t="shared" si="36"/>
        <v>64</v>
      </c>
      <c r="AV20" s="17">
        <f t="shared" si="37"/>
        <v>0.21770367792313863</v>
      </c>
      <c r="AW20" s="524">
        <f t="shared" si="38"/>
        <v>13004396.742436</v>
      </c>
      <c r="AX20" s="525">
        <f t="shared" si="10"/>
        <v>8082.28511027719</v>
      </c>
      <c r="AY20" s="524">
        <f t="shared" si="39"/>
        <v>56</v>
      </c>
      <c r="AZ20" s="15"/>
      <c r="BA20" s="380"/>
      <c r="BB20" s="524"/>
      <c r="BC20" s="524"/>
      <c r="BD20" s="319"/>
      <c r="BE20" s="216"/>
      <c r="BF20" s="225"/>
      <c r="BG20" s="225"/>
      <c r="BH20" s="225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</row>
    <row r="21" spans="1:154" s="5" customFormat="1" ht="12.75">
      <c r="A21" s="126">
        <v>14</v>
      </c>
      <c r="B21" s="101" t="s">
        <v>315</v>
      </c>
      <c r="C21" s="101">
        <f>'Table 8 Membership, 2.1.09'!R18</f>
        <v>2234</v>
      </c>
      <c r="D21" s="101">
        <v>1631</v>
      </c>
      <c r="E21" s="101">
        <f t="shared" si="1"/>
        <v>359</v>
      </c>
      <c r="F21" s="101">
        <v>713</v>
      </c>
      <c r="G21" s="101">
        <f t="shared" si="2"/>
        <v>43</v>
      </c>
      <c r="H21" s="101">
        <v>380</v>
      </c>
      <c r="I21" s="101">
        <f t="shared" si="11"/>
        <v>570</v>
      </c>
      <c r="J21" s="101">
        <v>108</v>
      </c>
      <c r="K21" s="14">
        <f t="shared" si="12"/>
        <v>65</v>
      </c>
      <c r="L21" s="14">
        <f t="shared" si="3"/>
        <v>5266</v>
      </c>
      <c r="M21" s="84">
        <f t="shared" si="4"/>
        <v>0.14043</v>
      </c>
      <c r="N21" s="14">
        <f t="shared" si="5"/>
        <v>314</v>
      </c>
      <c r="O21" s="14">
        <f t="shared" si="13"/>
        <v>1351</v>
      </c>
      <c r="P21" s="14">
        <f t="shared" si="6"/>
        <v>3585</v>
      </c>
      <c r="Q21" s="519">
        <f t="shared" si="14"/>
        <v>3855</v>
      </c>
      <c r="R21" s="519">
        <f t="shared" si="7"/>
        <v>13820175</v>
      </c>
      <c r="S21" s="519">
        <f>'Table 6 (Local Deduct Calc.)'!J22</f>
        <v>3264895</v>
      </c>
      <c r="T21" s="519">
        <f t="shared" si="15"/>
        <v>3264895</v>
      </c>
      <c r="U21" s="520">
        <f t="shared" si="16"/>
        <v>10555280</v>
      </c>
      <c r="V21" s="521">
        <f t="shared" si="40"/>
        <v>0.7638</v>
      </c>
      <c r="W21" s="521">
        <f t="shared" si="17"/>
        <v>0.2362</v>
      </c>
      <c r="X21" s="522">
        <f t="shared" si="18"/>
        <v>1461.4570277529097</v>
      </c>
      <c r="Y21" s="519">
        <f>'Table 7 Local Revenue'!AQ21</f>
        <v>7395110</v>
      </c>
      <c r="Z21" s="519">
        <f t="shared" si="19"/>
        <v>4130215</v>
      </c>
      <c r="AA21" s="380">
        <f t="shared" si="20"/>
        <v>0</v>
      </c>
      <c r="AB21" s="15">
        <f t="shared" si="21"/>
        <v>4698859.5</v>
      </c>
      <c r="AC21" s="15">
        <f t="shared" si="22"/>
        <v>4130215</v>
      </c>
      <c r="AD21" s="519">
        <f t="shared" si="23"/>
        <v>1677957.66676</v>
      </c>
      <c r="AE21" s="523">
        <f t="shared" si="24"/>
        <v>2452257.33324</v>
      </c>
      <c r="AF21" s="17">
        <f t="shared" si="25"/>
        <v>0.5937</v>
      </c>
      <c r="AG21" s="523">
        <f t="shared" si="26"/>
        <v>13007537.33324</v>
      </c>
      <c r="AH21" s="15">
        <f t="shared" si="27"/>
        <v>5823</v>
      </c>
      <c r="AI21" s="523">
        <f>'Table 4 Level 3'!T19</f>
        <v>1048078</v>
      </c>
      <c r="AJ21" s="15">
        <f t="shared" si="8"/>
        <v>469.14861235452105</v>
      </c>
      <c r="AK21" s="523">
        <f t="shared" si="28"/>
        <v>14055615.33324</v>
      </c>
      <c r="AL21" s="15">
        <f t="shared" si="29"/>
        <v>6291.680990707252</v>
      </c>
      <c r="AM21" s="869">
        <f>'Table 4 Level 3'!AG19</f>
        <v>2084899.74</v>
      </c>
      <c r="AN21" s="870">
        <f t="shared" si="30"/>
        <v>933.258612354521</v>
      </c>
      <c r="AO21" s="523">
        <f t="shared" si="31"/>
        <v>15092437.07324</v>
      </c>
      <c r="AP21" s="15">
        <f t="shared" si="32"/>
        <v>6755.790990707252</v>
      </c>
      <c r="AQ21" s="17">
        <f t="shared" si="33"/>
        <v>0.6711464360290269</v>
      </c>
      <c r="AR21" s="524">
        <f t="shared" si="34"/>
        <v>34</v>
      </c>
      <c r="AS21" s="15">
        <f t="shared" si="35"/>
        <v>7395110</v>
      </c>
      <c r="AT21" s="15">
        <f t="shared" si="9"/>
        <v>3310.26</v>
      </c>
      <c r="AU21" s="524">
        <f t="shared" si="36"/>
        <v>29</v>
      </c>
      <c r="AV21" s="17">
        <f t="shared" si="37"/>
        <v>0.3288535639709731</v>
      </c>
      <c r="AW21" s="524">
        <f t="shared" si="38"/>
        <v>22487547.07324</v>
      </c>
      <c r="AX21" s="525">
        <f t="shared" si="10"/>
        <v>10066.046138424352</v>
      </c>
      <c r="AY21" s="524">
        <f t="shared" si="39"/>
        <v>5</v>
      </c>
      <c r="AZ21" s="15"/>
      <c r="BA21" s="380"/>
      <c r="BB21" s="524"/>
      <c r="BC21" s="524"/>
      <c r="BD21" s="319"/>
      <c r="BE21" s="216"/>
      <c r="BF21" s="225"/>
      <c r="BG21" s="225"/>
      <c r="BH21" s="225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</row>
    <row r="22" spans="1:154" s="22" customFormat="1" ht="12.75">
      <c r="A22" s="127">
        <v>15</v>
      </c>
      <c r="B22" s="102" t="s">
        <v>316</v>
      </c>
      <c r="C22" s="102">
        <f>'Table 8 Membership, 2.1.09'!R19</f>
        <v>3742</v>
      </c>
      <c r="D22" s="102">
        <v>2747</v>
      </c>
      <c r="E22" s="102">
        <f t="shared" si="1"/>
        <v>604</v>
      </c>
      <c r="F22" s="102">
        <v>1062</v>
      </c>
      <c r="G22" s="102">
        <f t="shared" si="2"/>
        <v>64</v>
      </c>
      <c r="H22" s="102">
        <v>387</v>
      </c>
      <c r="I22" s="102">
        <f t="shared" si="11"/>
        <v>581</v>
      </c>
      <c r="J22" s="102">
        <v>79</v>
      </c>
      <c r="K22" s="20">
        <f t="shared" si="12"/>
        <v>47</v>
      </c>
      <c r="L22" s="20">
        <f t="shared" si="3"/>
        <v>3758</v>
      </c>
      <c r="M22" s="85">
        <f t="shared" si="4"/>
        <v>0.10021</v>
      </c>
      <c r="N22" s="20">
        <f t="shared" si="5"/>
        <v>375</v>
      </c>
      <c r="O22" s="20">
        <f t="shared" si="13"/>
        <v>1671</v>
      </c>
      <c r="P22" s="14">
        <f t="shared" si="6"/>
        <v>5413</v>
      </c>
      <c r="Q22" s="526">
        <f t="shared" si="14"/>
        <v>3855</v>
      </c>
      <c r="R22" s="526">
        <f t="shared" si="7"/>
        <v>20867115</v>
      </c>
      <c r="S22" s="526">
        <f>'Table 6 (Local Deduct Calc.)'!J23</f>
        <v>4376810</v>
      </c>
      <c r="T22" s="526">
        <f t="shared" si="15"/>
        <v>4376810</v>
      </c>
      <c r="U22" s="527">
        <f t="shared" si="16"/>
        <v>16490305</v>
      </c>
      <c r="V22" s="528">
        <f t="shared" si="40"/>
        <v>0.7903</v>
      </c>
      <c r="W22" s="529">
        <f t="shared" si="17"/>
        <v>0.2097</v>
      </c>
      <c r="X22" s="530">
        <f t="shared" si="18"/>
        <v>1169.644575093533</v>
      </c>
      <c r="Y22" s="526">
        <f>'Table 7 Local Revenue'!AQ22</f>
        <v>9143659</v>
      </c>
      <c r="Z22" s="526">
        <f t="shared" si="19"/>
        <v>4766849</v>
      </c>
      <c r="AA22" s="381">
        <f t="shared" si="20"/>
        <v>0</v>
      </c>
      <c r="AB22" s="21">
        <f t="shared" si="21"/>
        <v>7094819.100000001</v>
      </c>
      <c r="AC22" s="21">
        <f t="shared" si="22"/>
        <v>4766849</v>
      </c>
      <c r="AD22" s="526">
        <f t="shared" si="23"/>
        <v>1719326.164716</v>
      </c>
      <c r="AE22" s="531">
        <f t="shared" si="24"/>
        <v>3047522.8352840003</v>
      </c>
      <c r="AF22" s="374">
        <f t="shared" si="25"/>
        <v>0.6393</v>
      </c>
      <c r="AG22" s="531">
        <f t="shared" si="26"/>
        <v>19537827.835284002</v>
      </c>
      <c r="AH22" s="21">
        <f t="shared" si="27"/>
        <v>5221</v>
      </c>
      <c r="AI22" s="531">
        <f>'Table 4 Level 3'!T20</f>
        <v>1434066</v>
      </c>
      <c r="AJ22" s="21">
        <f t="shared" si="8"/>
        <v>383.2351683591662</v>
      </c>
      <c r="AK22" s="531">
        <f t="shared" si="28"/>
        <v>20971893.835284002</v>
      </c>
      <c r="AL22" s="21">
        <f t="shared" si="29"/>
        <v>5604.46120664992</v>
      </c>
      <c r="AM22" s="871">
        <f>'Table 4 Level 3'!AG20</f>
        <v>2663612.36</v>
      </c>
      <c r="AN22" s="872">
        <f t="shared" si="30"/>
        <v>711.8151683591661</v>
      </c>
      <c r="AO22" s="531">
        <f t="shared" si="31"/>
        <v>22201440.195284</v>
      </c>
      <c r="AP22" s="21">
        <f t="shared" si="32"/>
        <v>5933.04120664992</v>
      </c>
      <c r="AQ22" s="374">
        <f t="shared" si="33"/>
        <v>0.7082906344295219</v>
      </c>
      <c r="AR22" s="532">
        <f t="shared" si="34"/>
        <v>23</v>
      </c>
      <c r="AS22" s="21">
        <f t="shared" si="35"/>
        <v>9143659</v>
      </c>
      <c r="AT22" s="21">
        <f t="shared" si="9"/>
        <v>2443.52</v>
      </c>
      <c r="AU22" s="532">
        <f t="shared" si="36"/>
        <v>50</v>
      </c>
      <c r="AV22" s="374">
        <f t="shared" si="37"/>
        <v>0.2917093655704781</v>
      </c>
      <c r="AW22" s="532">
        <f t="shared" si="38"/>
        <v>31345099.195284</v>
      </c>
      <c r="AX22" s="533">
        <f t="shared" si="10"/>
        <v>8376.563120065206</v>
      </c>
      <c r="AY22" s="532">
        <f t="shared" si="39"/>
        <v>47</v>
      </c>
      <c r="AZ22" s="21"/>
      <c r="BA22" s="381"/>
      <c r="BB22" s="532"/>
      <c r="BC22" s="532"/>
      <c r="BD22" s="319"/>
      <c r="BE22" s="216"/>
      <c r="BF22" s="225"/>
      <c r="BG22" s="225"/>
      <c r="BH22" s="225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</row>
    <row r="23" spans="1:154" s="5" customFormat="1" ht="12.75">
      <c r="A23" s="126">
        <v>16</v>
      </c>
      <c r="B23" s="101" t="s">
        <v>317</v>
      </c>
      <c r="C23" s="101">
        <f>'Table 8 Membership, 2.1.09'!R20</f>
        <v>4590</v>
      </c>
      <c r="D23" s="101">
        <v>3057</v>
      </c>
      <c r="E23" s="101">
        <f t="shared" si="1"/>
        <v>673</v>
      </c>
      <c r="F23" s="101">
        <v>1718</v>
      </c>
      <c r="G23" s="101">
        <f t="shared" si="2"/>
        <v>103</v>
      </c>
      <c r="H23" s="101">
        <v>568</v>
      </c>
      <c r="I23" s="101">
        <f t="shared" si="11"/>
        <v>852</v>
      </c>
      <c r="J23" s="101">
        <v>73</v>
      </c>
      <c r="K23" s="14">
        <f t="shared" si="12"/>
        <v>44</v>
      </c>
      <c r="L23" s="14">
        <f t="shared" si="3"/>
        <v>2910</v>
      </c>
      <c r="M23" s="84">
        <f t="shared" si="4"/>
        <v>0.0776</v>
      </c>
      <c r="N23" s="14">
        <f t="shared" si="5"/>
        <v>356</v>
      </c>
      <c r="O23" s="14">
        <f t="shared" si="13"/>
        <v>2028</v>
      </c>
      <c r="P23" s="43">
        <f t="shared" si="6"/>
        <v>6618</v>
      </c>
      <c r="Q23" s="519">
        <f t="shared" si="14"/>
        <v>3855</v>
      </c>
      <c r="R23" s="519">
        <f t="shared" si="7"/>
        <v>25512390</v>
      </c>
      <c r="S23" s="519">
        <f>'Table 6 (Local Deduct Calc.)'!J24</f>
        <v>9572004</v>
      </c>
      <c r="T23" s="519">
        <f t="shared" si="15"/>
        <v>9572004</v>
      </c>
      <c r="U23" s="520">
        <f t="shared" si="16"/>
        <v>15940386</v>
      </c>
      <c r="V23" s="521">
        <f t="shared" si="40"/>
        <v>0.6248</v>
      </c>
      <c r="W23" s="521">
        <f t="shared" si="17"/>
        <v>0.3752</v>
      </c>
      <c r="X23" s="522">
        <f t="shared" si="18"/>
        <v>2085.4039215686275</v>
      </c>
      <c r="Y23" s="519">
        <f>'Table 7 Local Revenue'!AQ23</f>
        <v>30435044</v>
      </c>
      <c r="Z23" s="519">
        <f t="shared" si="19"/>
        <v>20863040</v>
      </c>
      <c r="AA23" s="380">
        <f t="shared" si="20"/>
        <v>0</v>
      </c>
      <c r="AB23" s="15">
        <f t="shared" si="21"/>
        <v>8674212.600000001</v>
      </c>
      <c r="AC23" s="15">
        <f t="shared" si="22"/>
        <v>8674212.600000001</v>
      </c>
      <c r="AD23" s="519">
        <f t="shared" si="23"/>
        <v>5597851.0561344</v>
      </c>
      <c r="AE23" s="523">
        <f t="shared" si="24"/>
        <v>3076361.5438656015</v>
      </c>
      <c r="AF23" s="17">
        <f t="shared" si="25"/>
        <v>0.3547</v>
      </c>
      <c r="AG23" s="523">
        <f t="shared" si="26"/>
        <v>19016747.543865602</v>
      </c>
      <c r="AH23" s="15">
        <f t="shared" si="27"/>
        <v>4143</v>
      </c>
      <c r="AI23" s="523">
        <f>'Table 4 Level 3'!T21</f>
        <v>1732852</v>
      </c>
      <c r="AJ23" s="15">
        <f t="shared" si="8"/>
        <v>377.52766884531593</v>
      </c>
      <c r="AK23" s="523">
        <f t="shared" si="28"/>
        <v>20749599.543865602</v>
      </c>
      <c r="AL23" s="15">
        <f t="shared" si="29"/>
        <v>4520.609922410807</v>
      </c>
      <c r="AM23" s="869">
        <f>'Table 4 Level 3'!AG21</f>
        <v>3797938.9000000004</v>
      </c>
      <c r="AN23" s="870">
        <f t="shared" si="30"/>
        <v>827.437668845316</v>
      </c>
      <c r="AO23" s="523">
        <f t="shared" si="31"/>
        <v>22814686.443865605</v>
      </c>
      <c r="AP23" s="15">
        <f t="shared" si="32"/>
        <v>4970.519922410807</v>
      </c>
      <c r="AQ23" s="17">
        <f t="shared" si="33"/>
        <v>0.5556304112331026</v>
      </c>
      <c r="AR23" s="524">
        <f t="shared" si="34"/>
        <v>52</v>
      </c>
      <c r="AS23" s="15">
        <f t="shared" si="35"/>
        <v>18246216.6</v>
      </c>
      <c r="AT23" s="15">
        <f t="shared" si="9"/>
        <v>3975.21</v>
      </c>
      <c r="AU23" s="524">
        <f t="shared" si="36"/>
        <v>18</v>
      </c>
      <c r="AV23" s="17">
        <f t="shared" si="37"/>
        <v>0.4443695887668973</v>
      </c>
      <c r="AW23" s="524">
        <f t="shared" si="38"/>
        <v>41060903.043865606</v>
      </c>
      <c r="AX23" s="525">
        <f t="shared" si="10"/>
        <v>8945.7305106461</v>
      </c>
      <c r="AY23" s="524">
        <f t="shared" si="39"/>
        <v>25</v>
      </c>
      <c r="AZ23" s="15"/>
      <c r="BA23" s="380"/>
      <c r="BB23" s="524"/>
      <c r="BC23" s="524"/>
      <c r="BD23" s="319"/>
      <c r="BE23" s="216"/>
      <c r="BF23" s="225"/>
      <c r="BG23" s="225"/>
      <c r="BH23" s="225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</row>
    <row r="24" spans="1:154" s="5" customFormat="1" ht="12.75">
      <c r="A24" s="126">
        <v>17</v>
      </c>
      <c r="B24" s="101" t="s">
        <v>318</v>
      </c>
      <c r="C24" s="786">
        <f>'Table 8 Membership, 2.1.09'!R21</f>
        <v>42902</v>
      </c>
      <c r="D24" s="786">
        <f>35043+1168</f>
        <v>36211</v>
      </c>
      <c r="E24" s="101">
        <f t="shared" si="1"/>
        <v>7966</v>
      </c>
      <c r="F24" s="786">
        <f>8861.5+19</f>
        <v>8880.5</v>
      </c>
      <c r="G24" s="101">
        <f t="shared" si="2"/>
        <v>533</v>
      </c>
      <c r="H24" s="786">
        <f>4939+173</f>
        <v>5112</v>
      </c>
      <c r="I24" s="101">
        <f t="shared" si="11"/>
        <v>7668</v>
      </c>
      <c r="J24" s="786">
        <f>1254+1</f>
        <v>1255</v>
      </c>
      <c r="K24" s="101">
        <f t="shared" si="12"/>
        <v>753</v>
      </c>
      <c r="L24" s="14">
        <f t="shared" si="3"/>
        <v>0</v>
      </c>
      <c r="M24" s="84">
        <f t="shared" si="4"/>
        <v>0</v>
      </c>
      <c r="N24" s="14">
        <f t="shared" si="5"/>
        <v>0</v>
      </c>
      <c r="O24" s="14">
        <f t="shared" si="13"/>
        <v>16920</v>
      </c>
      <c r="P24" s="14">
        <f t="shared" si="6"/>
        <v>59822</v>
      </c>
      <c r="Q24" s="519">
        <f t="shared" si="14"/>
        <v>3855</v>
      </c>
      <c r="R24" s="519">
        <f t="shared" si="7"/>
        <v>230613810</v>
      </c>
      <c r="S24" s="519">
        <f>'Table 6 (Local Deduct Calc.)'!J25</f>
        <v>123635784</v>
      </c>
      <c r="T24" s="519">
        <f t="shared" si="15"/>
        <v>123635784</v>
      </c>
      <c r="U24" s="520">
        <f t="shared" si="16"/>
        <v>106978026</v>
      </c>
      <c r="V24" s="521">
        <f t="shared" si="40"/>
        <v>0.4639</v>
      </c>
      <c r="W24" s="521">
        <f t="shared" si="17"/>
        <v>0.5361</v>
      </c>
      <c r="X24" s="522">
        <f t="shared" si="18"/>
        <v>2881.8186564728917</v>
      </c>
      <c r="Y24" s="519">
        <f>'Table 7 Local Revenue'!AQ24</f>
        <v>273264309</v>
      </c>
      <c r="Z24" s="519">
        <f t="shared" si="19"/>
        <v>149628525</v>
      </c>
      <c r="AA24" s="380">
        <f t="shared" si="20"/>
        <v>0</v>
      </c>
      <c r="AB24" s="15">
        <f t="shared" si="21"/>
        <v>78408695.4</v>
      </c>
      <c r="AC24" s="15">
        <f t="shared" si="22"/>
        <v>78408695.4</v>
      </c>
      <c r="AD24" s="519">
        <f t="shared" si="23"/>
        <v>72300030.75877681</v>
      </c>
      <c r="AE24" s="523">
        <f t="shared" si="24"/>
        <v>6108664.641223192</v>
      </c>
      <c r="AF24" s="17">
        <f t="shared" si="25"/>
        <v>0.0779</v>
      </c>
      <c r="AG24" s="523">
        <f t="shared" si="26"/>
        <v>113086690.64122319</v>
      </c>
      <c r="AH24" s="15">
        <f t="shared" si="27"/>
        <v>2636</v>
      </c>
      <c r="AI24" s="523">
        <f>'Table 4 Level 3'!T22</f>
        <v>42746703</v>
      </c>
      <c r="AJ24" s="15">
        <f t="shared" si="8"/>
        <v>996.380192065638</v>
      </c>
      <c r="AK24" s="523">
        <f t="shared" si="28"/>
        <v>155833393.6412232</v>
      </c>
      <c r="AL24" s="15">
        <f t="shared" si="29"/>
        <v>3632.310699762789</v>
      </c>
      <c r="AM24" s="869">
        <f>'Table 4 Level 3'!AG22</f>
        <v>60848106.755474865</v>
      </c>
      <c r="AN24" s="870">
        <f t="shared" si="30"/>
        <v>1418.304665411283</v>
      </c>
      <c r="AO24" s="523">
        <f t="shared" si="31"/>
        <v>173934797.39669806</v>
      </c>
      <c r="AP24" s="15">
        <f t="shared" si="32"/>
        <v>4054.2351731084345</v>
      </c>
      <c r="AQ24" s="17">
        <f t="shared" si="33"/>
        <v>0.4626180434161247</v>
      </c>
      <c r="AR24" s="524">
        <f t="shared" si="34"/>
        <v>61</v>
      </c>
      <c r="AS24" s="15">
        <f t="shared" si="35"/>
        <v>202044479.4</v>
      </c>
      <c r="AT24" s="15">
        <f t="shared" si="9"/>
        <v>4709.44</v>
      </c>
      <c r="AU24" s="524">
        <f t="shared" si="36"/>
        <v>10</v>
      </c>
      <c r="AV24" s="17">
        <f t="shared" si="37"/>
        <v>0.5373819565838752</v>
      </c>
      <c r="AW24" s="524">
        <f t="shared" si="38"/>
        <v>375979276.7966981</v>
      </c>
      <c r="AX24" s="525">
        <f t="shared" si="10"/>
        <v>8763.67714317976</v>
      </c>
      <c r="AY24" s="524">
        <f t="shared" si="39"/>
        <v>31</v>
      </c>
      <c r="AZ24" s="15"/>
      <c r="BA24" s="380"/>
      <c r="BB24" s="524"/>
      <c r="BC24" s="790"/>
      <c r="BD24" s="319"/>
      <c r="BE24" s="216"/>
      <c r="BF24" s="225"/>
      <c r="BG24" s="225"/>
      <c r="BH24" s="225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</row>
    <row r="25" spans="1:154" s="5" customFormat="1" ht="12.75">
      <c r="A25" s="126">
        <v>18</v>
      </c>
      <c r="B25" s="101" t="s">
        <v>319</v>
      </c>
      <c r="C25" s="101">
        <f>'Table 8 Membership, 2.1.09'!R22</f>
        <v>1325</v>
      </c>
      <c r="D25" s="101">
        <v>1223</v>
      </c>
      <c r="E25" s="101">
        <f t="shared" si="1"/>
        <v>269</v>
      </c>
      <c r="F25" s="101">
        <v>522.5</v>
      </c>
      <c r="G25" s="101">
        <f t="shared" si="2"/>
        <v>31</v>
      </c>
      <c r="H25" s="101">
        <v>157</v>
      </c>
      <c r="I25" s="101">
        <f t="shared" si="11"/>
        <v>236</v>
      </c>
      <c r="J25" s="101">
        <v>1</v>
      </c>
      <c r="K25" s="14">
        <f t="shared" si="12"/>
        <v>1</v>
      </c>
      <c r="L25" s="14">
        <f t="shared" si="3"/>
        <v>6175</v>
      </c>
      <c r="M25" s="84">
        <f t="shared" si="4"/>
        <v>0.16467</v>
      </c>
      <c r="N25" s="14">
        <f t="shared" si="5"/>
        <v>218</v>
      </c>
      <c r="O25" s="14">
        <f t="shared" si="13"/>
        <v>755</v>
      </c>
      <c r="P25" s="14">
        <f t="shared" si="6"/>
        <v>2080</v>
      </c>
      <c r="Q25" s="519">
        <f t="shared" si="14"/>
        <v>3855</v>
      </c>
      <c r="R25" s="519">
        <f t="shared" si="7"/>
        <v>8018400</v>
      </c>
      <c r="S25" s="519">
        <f>'Table 6 (Local Deduct Calc.)'!J26</f>
        <v>1159916</v>
      </c>
      <c r="T25" s="519">
        <f t="shared" si="15"/>
        <v>1159916</v>
      </c>
      <c r="U25" s="520">
        <f t="shared" si="16"/>
        <v>6858484</v>
      </c>
      <c r="V25" s="521">
        <f t="shared" si="40"/>
        <v>0.8553</v>
      </c>
      <c r="W25" s="521">
        <f t="shared" si="17"/>
        <v>0.1447</v>
      </c>
      <c r="X25" s="522">
        <f t="shared" si="18"/>
        <v>875.4083018867924</v>
      </c>
      <c r="Y25" s="519">
        <f>'Table 7 Local Revenue'!AQ25</f>
        <v>2086497</v>
      </c>
      <c r="Z25" s="519">
        <f t="shared" si="19"/>
        <v>926581</v>
      </c>
      <c r="AA25" s="380">
        <f t="shared" si="20"/>
        <v>0</v>
      </c>
      <c r="AB25" s="15">
        <f t="shared" si="21"/>
        <v>2726256</v>
      </c>
      <c r="AC25" s="15">
        <f t="shared" si="22"/>
        <v>926581</v>
      </c>
      <c r="AD25" s="519">
        <f t="shared" si="23"/>
        <v>230611.185604</v>
      </c>
      <c r="AE25" s="523">
        <f t="shared" si="24"/>
        <v>695969.814396</v>
      </c>
      <c r="AF25" s="17">
        <f t="shared" si="25"/>
        <v>0.7511</v>
      </c>
      <c r="AG25" s="523">
        <f t="shared" si="26"/>
        <v>7554453.814396</v>
      </c>
      <c r="AH25" s="15">
        <f t="shared" si="27"/>
        <v>5701</v>
      </c>
      <c r="AI25" s="523">
        <f>'Table 4 Level 3'!T23</f>
        <v>641243</v>
      </c>
      <c r="AJ25" s="15">
        <f t="shared" si="8"/>
        <v>483.9569811320755</v>
      </c>
      <c r="AK25" s="523">
        <f t="shared" si="28"/>
        <v>8195696.814396</v>
      </c>
      <c r="AL25" s="15">
        <f t="shared" si="29"/>
        <v>6185.4315580347165</v>
      </c>
      <c r="AM25" s="869">
        <f>'Table 4 Level 3'!AG23</f>
        <v>1324227.5</v>
      </c>
      <c r="AN25" s="870">
        <f t="shared" si="30"/>
        <v>999.4169811320754</v>
      </c>
      <c r="AO25" s="523">
        <f t="shared" si="31"/>
        <v>8878681.314396</v>
      </c>
      <c r="AP25" s="15">
        <f t="shared" si="32"/>
        <v>6700.891558034717</v>
      </c>
      <c r="AQ25" s="17">
        <f t="shared" si="33"/>
        <v>0.809716090320148</v>
      </c>
      <c r="AR25" s="524">
        <f t="shared" si="34"/>
        <v>3</v>
      </c>
      <c r="AS25" s="15">
        <f t="shared" si="35"/>
        <v>2086497</v>
      </c>
      <c r="AT25" s="15">
        <f t="shared" si="9"/>
        <v>1574.71</v>
      </c>
      <c r="AU25" s="524">
        <f t="shared" si="36"/>
        <v>67</v>
      </c>
      <c r="AV25" s="17">
        <f t="shared" si="37"/>
        <v>0.19028390967985198</v>
      </c>
      <c r="AW25" s="524">
        <f t="shared" si="38"/>
        <v>10965178.314396</v>
      </c>
      <c r="AX25" s="525">
        <f t="shared" si="10"/>
        <v>8275.606275015849</v>
      </c>
      <c r="AY25" s="524">
        <f t="shared" si="39"/>
        <v>50</v>
      </c>
      <c r="AZ25" s="15"/>
      <c r="BA25" s="380"/>
      <c r="BB25" s="524"/>
      <c r="BC25" s="524"/>
      <c r="BD25" s="319"/>
      <c r="BE25" s="216"/>
      <c r="BF25" s="225"/>
      <c r="BG25" s="225"/>
      <c r="BH25" s="2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</row>
    <row r="26" spans="1:154" s="5" customFormat="1" ht="12.75">
      <c r="A26" s="126">
        <v>19</v>
      </c>
      <c r="B26" s="101" t="s">
        <v>320</v>
      </c>
      <c r="C26" s="101">
        <f>'Table 8 Membership, 2.1.09'!R23</f>
        <v>2099</v>
      </c>
      <c r="D26" s="101">
        <v>1801</v>
      </c>
      <c r="E26" s="101">
        <f t="shared" si="1"/>
        <v>396</v>
      </c>
      <c r="F26" s="101">
        <v>836</v>
      </c>
      <c r="G26" s="101">
        <f t="shared" si="2"/>
        <v>50</v>
      </c>
      <c r="H26" s="101">
        <v>307</v>
      </c>
      <c r="I26" s="101">
        <f t="shared" si="11"/>
        <v>461</v>
      </c>
      <c r="J26" s="101">
        <v>9</v>
      </c>
      <c r="K26" s="14">
        <f t="shared" si="12"/>
        <v>5</v>
      </c>
      <c r="L26" s="14">
        <f t="shared" si="3"/>
        <v>5401</v>
      </c>
      <c r="M26" s="84">
        <f t="shared" si="4"/>
        <v>0.14403</v>
      </c>
      <c r="N26" s="14">
        <f t="shared" si="5"/>
        <v>302</v>
      </c>
      <c r="O26" s="14">
        <f t="shared" si="13"/>
        <v>1214</v>
      </c>
      <c r="P26" s="14">
        <f t="shared" si="6"/>
        <v>3313</v>
      </c>
      <c r="Q26" s="519">
        <f t="shared" si="14"/>
        <v>3855</v>
      </c>
      <c r="R26" s="519">
        <f t="shared" si="7"/>
        <v>12771615</v>
      </c>
      <c r="S26" s="519">
        <f>'Table 6 (Local Deduct Calc.)'!J27</f>
        <v>2923575</v>
      </c>
      <c r="T26" s="519">
        <f t="shared" si="15"/>
        <v>2923575</v>
      </c>
      <c r="U26" s="520">
        <f t="shared" si="16"/>
        <v>9848040</v>
      </c>
      <c r="V26" s="521">
        <f t="shared" si="40"/>
        <v>0.7711</v>
      </c>
      <c r="W26" s="521">
        <f t="shared" si="17"/>
        <v>0.2289</v>
      </c>
      <c r="X26" s="522">
        <f t="shared" si="18"/>
        <v>1392.8418294425917</v>
      </c>
      <c r="Y26" s="519">
        <f>'Table 7 Local Revenue'!AQ26</f>
        <v>4644230</v>
      </c>
      <c r="Z26" s="519">
        <f t="shared" si="19"/>
        <v>1720655</v>
      </c>
      <c r="AA26" s="380">
        <f t="shared" si="20"/>
        <v>0</v>
      </c>
      <c r="AB26" s="15">
        <f t="shared" si="21"/>
        <v>4342349.100000001</v>
      </c>
      <c r="AC26" s="15">
        <f t="shared" si="22"/>
        <v>1720655</v>
      </c>
      <c r="AD26" s="519">
        <f t="shared" si="23"/>
        <v>677435.63874</v>
      </c>
      <c r="AE26" s="523">
        <f t="shared" si="24"/>
        <v>1043219.36126</v>
      </c>
      <c r="AF26" s="17">
        <f t="shared" si="25"/>
        <v>0.6063</v>
      </c>
      <c r="AG26" s="523">
        <f t="shared" si="26"/>
        <v>10891259.36126</v>
      </c>
      <c r="AH26" s="15">
        <f t="shared" si="27"/>
        <v>5189</v>
      </c>
      <c r="AI26" s="523">
        <f>'Table 4 Level 3'!T24</f>
        <v>1125333</v>
      </c>
      <c r="AJ26" s="15">
        <f t="shared" si="8"/>
        <v>536.128156264888</v>
      </c>
      <c r="AK26" s="523">
        <f t="shared" si="28"/>
        <v>12016592.36126</v>
      </c>
      <c r="AL26" s="15">
        <f t="shared" si="29"/>
        <v>5724.912987737018</v>
      </c>
      <c r="AM26" s="869">
        <f>'Table 4 Level 3'!AG24</f>
        <v>2159258.42</v>
      </c>
      <c r="AN26" s="870">
        <f t="shared" si="30"/>
        <v>1028.708156264888</v>
      </c>
      <c r="AO26" s="523">
        <f t="shared" si="31"/>
        <v>13050517.78126</v>
      </c>
      <c r="AP26" s="15">
        <f t="shared" si="32"/>
        <v>6217.492987737018</v>
      </c>
      <c r="AQ26" s="17">
        <f t="shared" si="33"/>
        <v>0.7375362419735324</v>
      </c>
      <c r="AR26" s="524">
        <f t="shared" si="34"/>
        <v>13</v>
      </c>
      <c r="AS26" s="15">
        <f t="shared" si="35"/>
        <v>4644230</v>
      </c>
      <c r="AT26" s="15">
        <f t="shared" si="9"/>
        <v>2212.59</v>
      </c>
      <c r="AU26" s="524">
        <f t="shared" si="36"/>
        <v>53</v>
      </c>
      <c r="AV26" s="17">
        <f t="shared" si="37"/>
        <v>0.26246375802646765</v>
      </c>
      <c r="AW26" s="524">
        <f t="shared" si="38"/>
        <v>17694747.78126</v>
      </c>
      <c r="AX26" s="525">
        <f t="shared" si="10"/>
        <v>8430.084698075274</v>
      </c>
      <c r="AY26" s="524">
        <f t="shared" si="39"/>
        <v>46</v>
      </c>
      <c r="AZ26" s="15"/>
      <c r="BA26" s="380"/>
      <c r="BB26" s="524"/>
      <c r="BC26" s="524"/>
      <c r="BD26" s="319"/>
      <c r="BE26" s="216"/>
      <c r="BF26" s="225"/>
      <c r="BG26" s="225"/>
      <c r="BH26" s="225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</row>
    <row r="27" spans="1:154" s="22" customFormat="1" ht="12.75">
      <c r="A27" s="127">
        <v>20</v>
      </c>
      <c r="B27" s="102" t="s">
        <v>321</v>
      </c>
      <c r="C27" s="102">
        <f>'Table 8 Membership, 2.1.09'!R24</f>
        <v>5667</v>
      </c>
      <c r="D27" s="102">
        <v>4349</v>
      </c>
      <c r="E27" s="102">
        <f t="shared" si="1"/>
        <v>957</v>
      </c>
      <c r="F27" s="102">
        <v>1756</v>
      </c>
      <c r="G27" s="102">
        <f t="shared" si="2"/>
        <v>105</v>
      </c>
      <c r="H27" s="102">
        <v>913</v>
      </c>
      <c r="I27" s="102">
        <f t="shared" si="11"/>
        <v>1370</v>
      </c>
      <c r="J27" s="102">
        <v>40</v>
      </c>
      <c r="K27" s="20">
        <f t="shared" si="12"/>
        <v>24</v>
      </c>
      <c r="L27" s="20">
        <f t="shared" si="3"/>
        <v>1833</v>
      </c>
      <c r="M27" s="85">
        <f t="shared" si="4"/>
        <v>0.04888</v>
      </c>
      <c r="N27" s="20">
        <f t="shared" si="5"/>
        <v>277</v>
      </c>
      <c r="O27" s="20">
        <f t="shared" si="13"/>
        <v>2733</v>
      </c>
      <c r="P27" s="14">
        <f t="shared" si="6"/>
        <v>8400</v>
      </c>
      <c r="Q27" s="526">
        <f t="shared" si="14"/>
        <v>3855</v>
      </c>
      <c r="R27" s="526">
        <f t="shared" si="7"/>
        <v>32382000</v>
      </c>
      <c r="S27" s="526">
        <f>'Table 6 (Local Deduct Calc.)'!J28</f>
        <v>5970913</v>
      </c>
      <c r="T27" s="526">
        <f t="shared" si="15"/>
        <v>5970913</v>
      </c>
      <c r="U27" s="527">
        <f t="shared" si="16"/>
        <v>26411087</v>
      </c>
      <c r="V27" s="528">
        <f t="shared" si="40"/>
        <v>0.8156</v>
      </c>
      <c r="W27" s="529">
        <f t="shared" si="17"/>
        <v>0.1844</v>
      </c>
      <c r="X27" s="530">
        <f t="shared" si="18"/>
        <v>1053.6285512616905</v>
      </c>
      <c r="Y27" s="526">
        <f>'Table 7 Local Revenue'!AQ27</f>
        <v>12131859</v>
      </c>
      <c r="Z27" s="526">
        <f t="shared" si="19"/>
        <v>6160946</v>
      </c>
      <c r="AA27" s="381">
        <f t="shared" si="20"/>
        <v>0</v>
      </c>
      <c r="AB27" s="21">
        <f t="shared" si="21"/>
        <v>11009880</v>
      </c>
      <c r="AC27" s="21">
        <f t="shared" si="22"/>
        <v>6160946</v>
      </c>
      <c r="AD27" s="526">
        <f t="shared" si="23"/>
        <v>1954054.920928</v>
      </c>
      <c r="AE27" s="531">
        <f t="shared" si="24"/>
        <v>4206891.079072</v>
      </c>
      <c r="AF27" s="374">
        <f t="shared" si="25"/>
        <v>0.6828</v>
      </c>
      <c r="AG27" s="531">
        <f t="shared" si="26"/>
        <v>30617978.079072</v>
      </c>
      <c r="AH27" s="21">
        <f t="shared" si="27"/>
        <v>5403</v>
      </c>
      <c r="AI27" s="531">
        <f>'Table 4 Level 3'!T25</f>
        <v>1934221</v>
      </c>
      <c r="AJ27" s="21">
        <f t="shared" si="8"/>
        <v>341.31304040938767</v>
      </c>
      <c r="AK27" s="531">
        <f t="shared" si="28"/>
        <v>32552199.079072</v>
      </c>
      <c r="AL27" s="21">
        <f t="shared" si="29"/>
        <v>5744.1678276110815</v>
      </c>
      <c r="AM27" s="871">
        <f>'Table 4 Level 3'!AG25</f>
        <v>4011459.8499999996</v>
      </c>
      <c r="AN27" s="872">
        <f t="shared" si="30"/>
        <v>707.8630404093876</v>
      </c>
      <c r="AO27" s="531">
        <f t="shared" si="31"/>
        <v>34629437.929072</v>
      </c>
      <c r="AP27" s="21">
        <f t="shared" si="32"/>
        <v>6110.717827611082</v>
      </c>
      <c r="AQ27" s="374">
        <f t="shared" si="33"/>
        <v>0.7405576877304809</v>
      </c>
      <c r="AR27" s="532">
        <f t="shared" si="34"/>
        <v>12</v>
      </c>
      <c r="AS27" s="21">
        <f t="shared" si="35"/>
        <v>12131859</v>
      </c>
      <c r="AT27" s="21">
        <f t="shared" si="9"/>
        <v>2140.79</v>
      </c>
      <c r="AU27" s="532">
        <f t="shared" si="36"/>
        <v>54</v>
      </c>
      <c r="AV27" s="374">
        <f t="shared" si="37"/>
        <v>0.259442312269519</v>
      </c>
      <c r="AW27" s="532">
        <f t="shared" si="38"/>
        <v>46761296.929072</v>
      </c>
      <c r="AX27" s="533">
        <f t="shared" si="10"/>
        <v>8251.508192883713</v>
      </c>
      <c r="AY27" s="532">
        <f t="shared" si="39"/>
        <v>52</v>
      </c>
      <c r="AZ27" s="21"/>
      <c r="BA27" s="381"/>
      <c r="BB27" s="532"/>
      <c r="BC27" s="532"/>
      <c r="BD27" s="319"/>
      <c r="BE27" s="216"/>
      <c r="BF27" s="225"/>
      <c r="BG27" s="225"/>
      <c r="BH27" s="225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</row>
    <row r="28" spans="1:154" s="5" customFormat="1" ht="12.75">
      <c r="A28" s="126">
        <v>21</v>
      </c>
      <c r="B28" s="101" t="s">
        <v>322</v>
      </c>
      <c r="C28" s="101">
        <f>'Table 8 Membership, 2.1.09'!R25</f>
        <v>3003</v>
      </c>
      <c r="D28" s="101">
        <v>2357</v>
      </c>
      <c r="E28" s="101">
        <f t="shared" si="1"/>
        <v>519</v>
      </c>
      <c r="F28" s="101">
        <v>800</v>
      </c>
      <c r="G28" s="101">
        <f t="shared" si="2"/>
        <v>48</v>
      </c>
      <c r="H28" s="101">
        <v>377</v>
      </c>
      <c r="I28" s="101">
        <f t="shared" si="11"/>
        <v>566</v>
      </c>
      <c r="J28" s="101">
        <v>39</v>
      </c>
      <c r="K28" s="14">
        <f t="shared" si="12"/>
        <v>23</v>
      </c>
      <c r="L28" s="14">
        <f t="shared" si="3"/>
        <v>4497</v>
      </c>
      <c r="M28" s="84">
        <f t="shared" si="4"/>
        <v>0.11992</v>
      </c>
      <c r="N28" s="14">
        <f t="shared" si="5"/>
        <v>360</v>
      </c>
      <c r="O28" s="14">
        <f t="shared" si="13"/>
        <v>1516</v>
      </c>
      <c r="P28" s="43">
        <f t="shared" si="6"/>
        <v>4519</v>
      </c>
      <c r="Q28" s="519">
        <f t="shared" si="14"/>
        <v>3855</v>
      </c>
      <c r="R28" s="519">
        <f t="shared" si="7"/>
        <v>17420745</v>
      </c>
      <c r="S28" s="519">
        <f>'Table 6 (Local Deduct Calc.)'!J29</f>
        <v>2999886</v>
      </c>
      <c r="T28" s="519">
        <f t="shared" si="15"/>
        <v>2999886</v>
      </c>
      <c r="U28" s="520">
        <f t="shared" si="16"/>
        <v>14420859</v>
      </c>
      <c r="V28" s="521">
        <f t="shared" si="40"/>
        <v>0.8278</v>
      </c>
      <c r="W28" s="521">
        <f t="shared" si="17"/>
        <v>0.1722</v>
      </c>
      <c r="X28" s="522">
        <f t="shared" si="18"/>
        <v>998.963036963037</v>
      </c>
      <c r="Y28" s="519">
        <f>'Table 7 Local Revenue'!AQ28</f>
        <v>5574444</v>
      </c>
      <c r="Z28" s="519">
        <f t="shared" si="19"/>
        <v>2574558</v>
      </c>
      <c r="AA28" s="380">
        <f t="shared" si="20"/>
        <v>0</v>
      </c>
      <c r="AB28" s="15">
        <f t="shared" si="21"/>
        <v>5923053.300000001</v>
      </c>
      <c r="AC28" s="15">
        <f t="shared" si="22"/>
        <v>2574558</v>
      </c>
      <c r="AD28" s="519">
        <f t="shared" si="23"/>
        <v>762542.886672</v>
      </c>
      <c r="AE28" s="523">
        <f t="shared" si="24"/>
        <v>1812015.113328</v>
      </c>
      <c r="AF28" s="17">
        <f t="shared" si="25"/>
        <v>0.7038</v>
      </c>
      <c r="AG28" s="523">
        <f t="shared" si="26"/>
        <v>16232874.113328</v>
      </c>
      <c r="AH28" s="15">
        <f t="shared" si="27"/>
        <v>5406</v>
      </c>
      <c r="AI28" s="523">
        <f>'Table 4 Level 3'!T26</f>
        <v>1251676</v>
      </c>
      <c r="AJ28" s="15">
        <f t="shared" si="8"/>
        <v>416.8085248085248</v>
      </c>
      <c r="AK28" s="523">
        <f t="shared" si="28"/>
        <v>17484550.113328002</v>
      </c>
      <c r="AL28" s="15">
        <f t="shared" si="29"/>
        <v>5822.361010099235</v>
      </c>
      <c r="AM28" s="869">
        <f>'Table 4 Level 3'!AG26</f>
        <v>2203086.46</v>
      </c>
      <c r="AN28" s="870">
        <f t="shared" si="30"/>
        <v>733.6285248085248</v>
      </c>
      <c r="AO28" s="523">
        <f t="shared" si="31"/>
        <v>18435960.573328</v>
      </c>
      <c r="AP28" s="15">
        <f t="shared" si="32"/>
        <v>6139.181010099234</v>
      </c>
      <c r="AQ28" s="17">
        <f t="shared" si="33"/>
        <v>0.7678321503090214</v>
      </c>
      <c r="AR28" s="524">
        <f t="shared" si="34"/>
        <v>9</v>
      </c>
      <c r="AS28" s="15">
        <f t="shared" si="35"/>
        <v>5574444</v>
      </c>
      <c r="AT28" s="15">
        <f t="shared" si="9"/>
        <v>1856.29</v>
      </c>
      <c r="AU28" s="524">
        <f t="shared" si="36"/>
        <v>61</v>
      </c>
      <c r="AV28" s="17">
        <f t="shared" si="37"/>
        <v>0.2321678496909786</v>
      </c>
      <c r="AW28" s="524">
        <f t="shared" si="38"/>
        <v>24010404.573328</v>
      </c>
      <c r="AX28" s="525">
        <f t="shared" si="10"/>
        <v>7995.472718390943</v>
      </c>
      <c r="AY28" s="524">
        <f t="shared" si="39"/>
        <v>59</v>
      </c>
      <c r="AZ28" s="15"/>
      <c r="BA28" s="380"/>
      <c r="BB28" s="524"/>
      <c r="BC28" s="524"/>
      <c r="BD28" s="319"/>
      <c r="BE28" s="216"/>
      <c r="BF28" s="225"/>
      <c r="BG28" s="225"/>
      <c r="BH28" s="225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</row>
    <row r="29" spans="1:154" s="5" customFormat="1" ht="12.75">
      <c r="A29" s="126">
        <v>22</v>
      </c>
      <c r="B29" s="101" t="s">
        <v>323</v>
      </c>
      <c r="C29" s="101">
        <f>'Table 8 Membership, 2.1.09'!R26</f>
        <v>3384</v>
      </c>
      <c r="D29" s="101">
        <v>2131</v>
      </c>
      <c r="E29" s="101">
        <f t="shared" si="1"/>
        <v>469</v>
      </c>
      <c r="F29" s="101">
        <v>1073</v>
      </c>
      <c r="G29" s="101">
        <f t="shared" si="2"/>
        <v>64</v>
      </c>
      <c r="H29" s="101">
        <v>522</v>
      </c>
      <c r="I29" s="101">
        <f t="shared" si="11"/>
        <v>783</v>
      </c>
      <c r="J29" s="101">
        <v>38</v>
      </c>
      <c r="K29" s="14">
        <f t="shared" si="12"/>
        <v>23</v>
      </c>
      <c r="L29" s="14">
        <f t="shared" si="3"/>
        <v>4116</v>
      </c>
      <c r="M29" s="84">
        <f t="shared" si="4"/>
        <v>0.10976</v>
      </c>
      <c r="N29" s="14">
        <f t="shared" si="5"/>
        <v>371</v>
      </c>
      <c r="O29" s="14">
        <f t="shared" si="13"/>
        <v>1710</v>
      </c>
      <c r="P29" s="14">
        <f t="shared" si="6"/>
        <v>5094</v>
      </c>
      <c r="Q29" s="519">
        <f t="shared" si="14"/>
        <v>3855</v>
      </c>
      <c r="R29" s="519">
        <f t="shared" si="7"/>
        <v>19637370</v>
      </c>
      <c r="S29" s="519">
        <f>'Table 6 (Local Deduct Calc.)'!J30</f>
        <v>2096726</v>
      </c>
      <c r="T29" s="519">
        <f t="shared" si="15"/>
        <v>2096726</v>
      </c>
      <c r="U29" s="520">
        <f t="shared" si="16"/>
        <v>17540644</v>
      </c>
      <c r="V29" s="521">
        <f t="shared" si="40"/>
        <v>0.8932</v>
      </c>
      <c r="W29" s="521">
        <f t="shared" si="17"/>
        <v>0.1068</v>
      </c>
      <c r="X29" s="522">
        <f t="shared" si="18"/>
        <v>619.5998817966903</v>
      </c>
      <c r="Y29" s="519">
        <f>'Table 7 Local Revenue'!AQ29</f>
        <v>4009254</v>
      </c>
      <c r="Z29" s="519">
        <f t="shared" si="19"/>
        <v>1912528</v>
      </c>
      <c r="AA29" s="380">
        <f t="shared" si="20"/>
        <v>0</v>
      </c>
      <c r="AB29" s="15">
        <f t="shared" si="21"/>
        <v>6676705.800000001</v>
      </c>
      <c r="AC29" s="15">
        <f t="shared" si="22"/>
        <v>1912528</v>
      </c>
      <c r="AD29" s="519">
        <f t="shared" si="23"/>
        <v>351323.743488</v>
      </c>
      <c r="AE29" s="523">
        <f t="shared" si="24"/>
        <v>1561204.256512</v>
      </c>
      <c r="AF29" s="17">
        <f t="shared" si="25"/>
        <v>0.8163</v>
      </c>
      <c r="AG29" s="523">
        <f t="shared" si="26"/>
        <v>19101848.256512</v>
      </c>
      <c r="AH29" s="15">
        <f t="shared" si="27"/>
        <v>5645</v>
      </c>
      <c r="AI29" s="523">
        <f>'Table 4 Level 3'!T27</f>
        <v>1109134</v>
      </c>
      <c r="AJ29" s="15">
        <f t="shared" si="8"/>
        <v>327.7582742316785</v>
      </c>
      <c r="AK29" s="523">
        <f t="shared" si="28"/>
        <v>20210982.256512</v>
      </c>
      <c r="AL29" s="15">
        <f t="shared" si="29"/>
        <v>5972.512487148936</v>
      </c>
      <c r="AM29" s="869">
        <f>'Table 4 Level 3'!AG27</f>
        <v>2096855.92</v>
      </c>
      <c r="AN29" s="870">
        <f t="shared" si="30"/>
        <v>619.6382742316785</v>
      </c>
      <c r="AO29" s="523">
        <f t="shared" si="31"/>
        <v>21198704.176512003</v>
      </c>
      <c r="AP29" s="15">
        <f t="shared" si="32"/>
        <v>6264.392487148937</v>
      </c>
      <c r="AQ29" s="17">
        <f t="shared" si="33"/>
        <v>0.8409528462429893</v>
      </c>
      <c r="AR29" s="524">
        <f t="shared" si="34"/>
        <v>1</v>
      </c>
      <c r="AS29" s="15">
        <f t="shared" si="35"/>
        <v>4009254</v>
      </c>
      <c r="AT29" s="15">
        <f t="shared" si="9"/>
        <v>1184.77</v>
      </c>
      <c r="AU29" s="524">
        <f t="shared" si="36"/>
        <v>69</v>
      </c>
      <c r="AV29" s="17">
        <f t="shared" si="37"/>
        <v>0.15904715375701073</v>
      </c>
      <c r="AW29" s="524">
        <f t="shared" si="38"/>
        <v>25207958.176512003</v>
      </c>
      <c r="AX29" s="525">
        <f t="shared" si="10"/>
        <v>7449.160217645391</v>
      </c>
      <c r="AY29" s="524">
        <f t="shared" si="39"/>
        <v>65</v>
      </c>
      <c r="AZ29" s="15"/>
      <c r="BA29" s="380"/>
      <c r="BB29" s="524"/>
      <c r="BC29" s="524"/>
      <c r="BD29" s="319"/>
      <c r="BE29" s="216"/>
      <c r="BF29" s="225"/>
      <c r="BG29" s="225"/>
      <c r="BH29" s="225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</row>
    <row r="30" spans="1:154" s="5" customFormat="1" ht="12.75">
      <c r="A30" s="126">
        <v>23</v>
      </c>
      <c r="B30" s="101" t="s">
        <v>324</v>
      </c>
      <c r="C30" s="101">
        <f>'Table 8 Membership, 2.1.09'!R27</f>
        <v>13333</v>
      </c>
      <c r="D30" s="101">
        <v>8711</v>
      </c>
      <c r="E30" s="101">
        <f t="shared" si="1"/>
        <v>1916</v>
      </c>
      <c r="F30" s="101">
        <v>5044.5</v>
      </c>
      <c r="G30" s="101">
        <f t="shared" si="2"/>
        <v>303</v>
      </c>
      <c r="H30" s="101">
        <v>1836</v>
      </c>
      <c r="I30" s="101">
        <f t="shared" si="11"/>
        <v>2754</v>
      </c>
      <c r="J30" s="101">
        <v>409</v>
      </c>
      <c r="K30" s="14">
        <f t="shared" si="12"/>
        <v>245</v>
      </c>
      <c r="L30" s="14">
        <f t="shared" si="3"/>
        <v>0</v>
      </c>
      <c r="M30" s="84">
        <f t="shared" si="4"/>
        <v>0</v>
      </c>
      <c r="N30" s="14">
        <f t="shared" si="5"/>
        <v>0</v>
      </c>
      <c r="O30" s="14">
        <f t="shared" si="13"/>
        <v>5218</v>
      </c>
      <c r="P30" s="14">
        <f t="shared" si="6"/>
        <v>18551</v>
      </c>
      <c r="Q30" s="519">
        <f t="shared" si="14"/>
        <v>3855</v>
      </c>
      <c r="R30" s="519">
        <f t="shared" si="7"/>
        <v>71514105</v>
      </c>
      <c r="S30" s="519">
        <f>'Table 6 (Local Deduct Calc.)'!J31</f>
        <v>20088266</v>
      </c>
      <c r="T30" s="519">
        <f t="shared" si="15"/>
        <v>20088266</v>
      </c>
      <c r="U30" s="520">
        <f t="shared" si="16"/>
        <v>51425839</v>
      </c>
      <c r="V30" s="521">
        <f t="shared" si="40"/>
        <v>0.7191</v>
      </c>
      <c r="W30" s="521">
        <f t="shared" si="17"/>
        <v>0.2809</v>
      </c>
      <c r="X30" s="522">
        <f t="shared" si="18"/>
        <v>1506.657616440411</v>
      </c>
      <c r="Y30" s="519">
        <f>'Table 7 Local Revenue'!AQ30</f>
        <v>42214881</v>
      </c>
      <c r="Z30" s="519">
        <f t="shared" si="19"/>
        <v>22126615</v>
      </c>
      <c r="AA30" s="380">
        <f t="shared" si="20"/>
        <v>0</v>
      </c>
      <c r="AB30" s="15">
        <f t="shared" si="21"/>
        <v>24314795.700000003</v>
      </c>
      <c r="AC30" s="15">
        <f t="shared" si="22"/>
        <v>22126615</v>
      </c>
      <c r="AD30" s="519">
        <f t="shared" si="23"/>
        <v>10690429.78402</v>
      </c>
      <c r="AE30" s="523">
        <f t="shared" si="24"/>
        <v>11436185.21598</v>
      </c>
      <c r="AF30" s="17">
        <f t="shared" si="25"/>
        <v>0.5169</v>
      </c>
      <c r="AG30" s="523">
        <f t="shared" si="26"/>
        <v>62862024.21598</v>
      </c>
      <c r="AH30" s="15">
        <f t="shared" si="27"/>
        <v>4715</v>
      </c>
      <c r="AI30" s="523">
        <f>'Table 4 Level 3'!T28</f>
        <v>5401183</v>
      </c>
      <c r="AJ30" s="15">
        <f t="shared" si="8"/>
        <v>405.0988524713118</v>
      </c>
      <c r="AK30" s="523">
        <f t="shared" si="28"/>
        <v>68263207.21598</v>
      </c>
      <c r="AL30" s="15">
        <f t="shared" si="29"/>
        <v>5119.868537911947</v>
      </c>
      <c r="AM30" s="869">
        <f>'Table 4 Level 3'!AG28</f>
        <v>11044508.58</v>
      </c>
      <c r="AN30" s="870">
        <f t="shared" si="30"/>
        <v>828.3588524713118</v>
      </c>
      <c r="AO30" s="523">
        <f t="shared" si="31"/>
        <v>73906532.79598</v>
      </c>
      <c r="AP30" s="15">
        <f t="shared" si="32"/>
        <v>5543.128537911948</v>
      </c>
      <c r="AQ30" s="17">
        <f t="shared" si="33"/>
        <v>0.6364591196403309</v>
      </c>
      <c r="AR30" s="524">
        <f t="shared" si="34"/>
        <v>41</v>
      </c>
      <c r="AS30" s="15">
        <f t="shared" si="35"/>
        <v>42214881</v>
      </c>
      <c r="AT30" s="15">
        <f t="shared" si="9"/>
        <v>3166.2</v>
      </c>
      <c r="AU30" s="524">
        <f t="shared" si="36"/>
        <v>33</v>
      </c>
      <c r="AV30" s="17">
        <f t="shared" si="37"/>
        <v>0.36354088035966914</v>
      </c>
      <c r="AW30" s="524">
        <f t="shared" si="38"/>
        <v>116121413.79598</v>
      </c>
      <c r="AX30" s="525">
        <f t="shared" si="10"/>
        <v>8709.323767792695</v>
      </c>
      <c r="AY30" s="524">
        <f t="shared" si="39"/>
        <v>35</v>
      </c>
      <c r="AZ30" s="15"/>
      <c r="BA30" s="380"/>
      <c r="BB30" s="524"/>
      <c r="BC30" s="524"/>
      <c r="BD30" s="319"/>
      <c r="BE30" s="216"/>
      <c r="BF30" s="225"/>
      <c r="BG30" s="225"/>
      <c r="BH30" s="225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</row>
    <row r="31" spans="1:154" s="5" customFormat="1" ht="12.75">
      <c r="A31" s="126">
        <v>24</v>
      </c>
      <c r="B31" s="101" t="s">
        <v>325</v>
      </c>
      <c r="C31" s="101">
        <f>'Table 8 Membership, 2.1.09'!R28</f>
        <v>4139</v>
      </c>
      <c r="D31" s="101">
        <v>3369</v>
      </c>
      <c r="E31" s="101">
        <f t="shared" si="1"/>
        <v>741</v>
      </c>
      <c r="F31" s="101">
        <v>1344.5</v>
      </c>
      <c r="G31" s="101">
        <f t="shared" si="2"/>
        <v>81</v>
      </c>
      <c r="H31" s="101">
        <v>531</v>
      </c>
      <c r="I31" s="101">
        <f t="shared" si="11"/>
        <v>797</v>
      </c>
      <c r="J31" s="101">
        <v>97</v>
      </c>
      <c r="K31" s="14">
        <f t="shared" si="12"/>
        <v>58</v>
      </c>
      <c r="L31" s="14">
        <f t="shared" si="3"/>
        <v>3361</v>
      </c>
      <c r="M31" s="84">
        <f t="shared" si="4"/>
        <v>0.08963</v>
      </c>
      <c r="N31" s="14">
        <f t="shared" si="5"/>
        <v>371</v>
      </c>
      <c r="O31" s="14">
        <f t="shared" si="13"/>
        <v>2048</v>
      </c>
      <c r="P31" s="14">
        <f t="shared" si="6"/>
        <v>6187</v>
      </c>
      <c r="Q31" s="519">
        <f t="shared" si="14"/>
        <v>3855</v>
      </c>
      <c r="R31" s="519">
        <f t="shared" si="7"/>
        <v>23850885</v>
      </c>
      <c r="S31" s="519">
        <f>'Table 6 (Local Deduct Calc.)'!J32</f>
        <v>13957888</v>
      </c>
      <c r="T31" s="519">
        <f t="shared" si="15"/>
        <v>13957888</v>
      </c>
      <c r="U31" s="520">
        <f t="shared" si="16"/>
        <v>9892997</v>
      </c>
      <c r="V31" s="521">
        <f t="shared" si="40"/>
        <v>0.4148</v>
      </c>
      <c r="W31" s="521">
        <f t="shared" si="17"/>
        <v>0.5852</v>
      </c>
      <c r="X31" s="522">
        <f t="shared" si="18"/>
        <v>3372.2850930176373</v>
      </c>
      <c r="Y31" s="519">
        <f>'Table 7 Local Revenue'!AQ31</f>
        <v>29370721</v>
      </c>
      <c r="Z31" s="519">
        <f t="shared" si="19"/>
        <v>15412833</v>
      </c>
      <c r="AA31" s="380">
        <f t="shared" si="20"/>
        <v>0</v>
      </c>
      <c r="AB31" s="15">
        <f t="shared" si="21"/>
        <v>8109300.9</v>
      </c>
      <c r="AC31" s="15">
        <f t="shared" si="22"/>
        <v>8109300.9</v>
      </c>
      <c r="AD31" s="519">
        <f t="shared" si="23"/>
        <v>8162368.165089602</v>
      </c>
      <c r="AE31" s="523">
        <f t="shared" si="24"/>
        <v>0</v>
      </c>
      <c r="AF31" s="17">
        <f t="shared" si="25"/>
        <v>0</v>
      </c>
      <c r="AG31" s="523">
        <f t="shared" si="26"/>
        <v>9892997</v>
      </c>
      <c r="AH31" s="15">
        <f t="shared" si="27"/>
        <v>2390</v>
      </c>
      <c r="AI31" s="523">
        <f>'Table 4 Level 3'!T29</f>
        <v>4234705</v>
      </c>
      <c r="AJ31" s="15">
        <f t="shared" si="8"/>
        <v>1023.1227349601353</v>
      </c>
      <c r="AK31" s="523">
        <f t="shared" si="28"/>
        <v>14127702</v>
      </c>
      <c r="AL31" s="15">
        <f t="shared" si="29"/>
        <v>3413.3128775066443</v>
      </c>
      <c r="AM31" s="869">
        <f>'Table 4 Level 3'!AG29</f>
        <v>6141418.130000001</v>
      </c>
      <c r="AN31" s="870">
        <f t="shared" si="30"/>
        <v>1483.7927349601355</v>
      </c>
      <c r="AO31" s="523">
        <f t="shared" si="31"/>
        <v>16034415.13</v>
      </c>
      <c r="AP31" s="15">
        <f t="shared" si="32"/>
        <v>3873.9828775066444</v>
      </c>
      <c r="AQ31" s="17">
        <f t="shared" si="33"/>
        <v>0.4208330735203433</v>
      </c>
      <c r="AR31" s="524">
        <f t="shared" si="34"/>
        <v>65</v>
      </c>
      <c r="AS31" s="15">
        <f t="shared" si="35"/>
        <v>22067188.9</v>
      </c>
      <c r="AT31" s="15">
        <f t="shared" si="9"/>
        <v>5331.53</v>
      </c>
      <c r="AU31" s="524">
        <f t="shared" si="36"/>
        <v>3</v>
      </c>
      <c r="AV31" s="17">
        <f t="shared" si="37"/>
        <v>0.5791669264796566</v>
      </c>
      <c r="AW31" s="524">
        <f t="shared" si="38"/>
        <v>38101604.03</v>
      </c>
      <c r="AX31" s="525">
        <f t="shared" si="10"/>
        <v>9205.50955061609</v>
      </c>
      <c r="AY31" s="524">
        <f t="shared" si="39"/>
        <v>15</v>
      </c>
      <c r="AZ31" s="15"/>
      <c r="BA31" s="380"/>
      <c r="BB31" s="524"/>
      <c r="BC31" s="524"/>
      <c r="BD31" s="319"/>
      <c r="BE31" s="216"/>
      <c r="BF31" s="225"/>
      <c r="BG31" s="225"/>
      <c r="BH31" s="225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</row>
    <row r="32" spans="1:154" s="22" customFormat="1" ht="12.75">
      <c r="A32" s="127">
        <v>25</v>
      </c>
      <c r="B32" s="102" t="s">
        <v>326</v>
      </c>
      <c r="C32" s="102">
        <f>'Table 8 Membership, 2.1.09'!R29</f>
        <v>2192</v>
      </c>
      <c r="D32" s="102">
        <v>1309</v>
      </c>
      <c r="E32" s="102">
        <f t="shared" si="1"/>
        <v>288</v>
      </c>
      <c r="F32" s="102">
        <v>803</v>
      </c>
      <c r="G32" s="102">
        <f t="shared" si="2"/>
        <v>48</v>
      </c>
      <c r="H32" s="102">
        <v>209</v>
      </c>
      <c r="I32" s="102">
        <f t="shared" si="11"/>
        <v>314</v>
      </c>
      <c r="J32" s="102">
        <v>53</v>
      </c>
      <c r="K32" s="20">
        <f t="shared" si="12"/>
        <v>32</v>
      </c>
      <c r="L32" s="20">
        <f t="shared" si="3"/>
        <v>5308</v>
      </c>
      <c r="M32" s="85">
        <f t="shared" si="4"/>
        <v>0.14155</v>
      </c>
      <c r="N32" s="20">
        <f t="shared" si="5"/>
        <v>310</v>
      </c>
      <c r="O32" s="20">
        <f t="shared" si="13"/>
        <v>992</v>
      </c>
      <c r="P32" s="14">
        <f t="shared" si="6"/>
        <v>3184</v>
      </c>
      <c r="Q32" s="526">
        <f t="shared" si="14"/>
        <v>3855</v>
      </c>
      <c r="R32" s="526">
        <f t="shared" si="7"/>
        <v>12274320</v>
      </c>
      <c r="S32" s="526">
        <f>'Table 6 (Local Deduct Calc.)'!J33</f>
        <v>5058571</v>
      </c>
      <c r="T32" s="526">
        <f t="shared" si="15"/>
        <v>5058571</v>
      </c>
      <c r="U32" s="527">
        <f t="shared" si="16"/>
        <v>7215749</v>
      </c>
      <c r="V32" s="528">
        <f t="shared" si="40"/>
        <v>0.5879</v>
      </c>
      <c r="W32" s="529">
        <f t="shared" si="17"/>
        <v>0.4121</v>
      </c>
      <c r="X32" s="530">
        <f t="shared" si="18"/>
        <v>2307.7422445255474</v>
      </c>
      <c r="Y32" s="526">
        <f>'Table 7 Local Revenue'!AQ32</f>
        <v>12093617</v>
      </c>
      <c r="Z32" s="526">
        <f t="shared" si="19"/>
        <v>7035046</v>
      </c>
      <c r="AA32" s="381">
        <f t="shared" si="20"/>
        <v>0</v>
      </c>
      <c r="AB32" s="21">
        <f t="shared" si="21"/>
        <v>4173268.8000000003</v>
      </c>
      <c r="AC32" s="21">
        <f t="shared" si="22"/>
        <v>4173268.8000000003</v>
      </c>
      <c r="AD32" s="526">
        <f t="shared" si="23"/>
        <v>2958063.0046656</v>
      </c>
      <c r="AE32" s="531">
        <f t="shared" si="24"/>
        <v>1215205.7953344001</v>
      </c>
      <c r="AF32" s="374">
        <f t="shared" si="25"/>
        <v>0.2912</v>
      </c>
      <c r="AG32" s="531">
        <f t="shared" si="26"/>
        <v>8430954.7953344</v>
      </c>
      <c r="AH32" s="21">
        <f t="shared" si="27"/>
        <v>3846</v>
      </c>
      <c r="AI32" s="531">
        <f>'Table 4 Level 3'!T30</f>
        <v>764522</v>
      </c>
      <c r="AJ32" s="21">
        <f t="shared" si="8"/>
        <v>348.77828467153284</v>
      </c>
      <c r="AK32" s="531">
        <f t="shared" si="28"/>
        <v>9195476.7953344</v>
      </c>
      <c r="AL32" s="21">
        <f t="shared" si="29"/>
        <v>4195.016786192701</v>
      </c>
      <c r="AM32" s="871">
        <f>'Table 4 Level 3'!AG30</f>
        <v>1703202.16</v>
      </c>
      <c r="AN32" s="872">
        <f t="shared" si="30"/>
        <v>777.0082846715328</v>
      </c>
      <c r="AO32" s="531">
        <f t="shared" si="31"/>
        <v>10134156.9553344</v>
      </c>
      <c r="AP32" s="21">
        <f t="shared" si="32"/>
        <v>4623.246786192701</v>
      </c>
      <c r="AQ32" s="374">
        <f t="shared" si="33"/>
        <v>0.5232964294772449</v>
      </c>
      <c r="AR32" s="532">
        <f t="shared" si="34"/>
        <v>55</v>
      </c>
      <c r="AS32" s="21">
        <f t="shared" si="35"/>
        <v>9231839.8</v>
      </c>
      <c r="AT32" s="21">
        <f t="shared" si="9"/>
        <v>4211.61</v>
      </c>
      <c r="AU32" s="532">
        <f t="shared" si="36"/>
        <v>13</v>
      </c>
      <c r="AV32" s="374">
        <f t="shared" si="37"/>
        <v>0.4767035705227552</v>
      </c>
      <c r="AW32" s="532">
        <f t="shared" si="38"/>
        <v>19365996.7553344</v>
      </c>
      <c r="AX32" s="533">
        <f t="shared" si="10"/>
        <v>8834.852534367883</v>
      </c>
      <c r="AY32" s="532">
        <f t="shared" si="39"/>
        <v>27</v>
      </c>
      <c r="AZ32" s="21"/>
      <c r="BA32" s="381"/>
      <c r="BB32" s="532"/>
      <c r="BC32" s="532"/>
      <c r="BD32" s="319"/>
      <c r="BE32" s="216"/>
      <c r="BF32" s="225"/>
      <c r="BG32" s="225"/>
      <c r="BH32" s="225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</row>
    <row r="33" spans="1:154" s="5" customFormat="1" ht="12.75">
      <c r="A33" s="126">
        <v>26</v>
      </c>
      <c r="B33" s="101" t="s">
        <v>327</v>
      </c>
      <c r="C33" s="101">
        <f>'Table 8 Membership, 2.1.09'!R30</f>
        <v>41790</v>
      </c>
      <c r="D33" s="101">
        <v>31703</v>
      </c>
      <c r="E33" s="101">
        <f t="shared" si="1"/>
        <v>6975</v>
      </c>
      <c r="F33" s="101">
        <v>11408.5</v>
      </c>
      <c r="G33" s="101">
        <f t="shared" si="2"/>
        <v>685</v>
      </c>
      <c r="H33" s="101">
        <v>5446</v>
      </c>
      <c r="I33" s="101">
        <f t="shared" si="11"/>
        <v>8169</v>
      </c>
      <c r="J33" s="101">
        <v>2727</v>
      </c>
      <c r="K33" s="14">
        <f t="shared" si="12"/>
        <v>1636</v>
      </c>
      <c r="L33" s="14">
        <f t="shared" si="3"/>
        <v>0</v>
      </c>
      <c r="M33" s="84">
        <f t="shared" si="4"/>
        <v>0</v>
      </c>
      <c r="N33" s="14">
        <f t="shared" si="5"/>
        <v>0</v>
      </c>
      <c r="O33" s="14">
        <f t="shared" si="13"/>
        <v>17465</v>
      </c>
      <c r="P33" s="43">
        <f t="shared" si="6"/>
        <v>59255</v>
      </c>
      <c r="Q33" s="519">
        <f t="shared" si="14"/>
        <v>3855</v>
      </c>
      <c r="R33" s="519">
        <f t="shared" si="7"/>
        <v>228428025</v>
      </c>
      <c r="S33" s="519">
        <f>'Table 6 (Local Deduct Calc.)'!J34</f>
        <v>133965513</v>
      </c>
      <c r="T33" s="519">
        <f t="shared" si="15"/>
        <v>133965513</v>
      </c>
      <c r="U33" s="520">
        <f t="shared" si="16"/>
        <v>94462512</v>
      </c>
      <c r="V33" s="521">
        <f t="shared" si="40"/>
        <v>0.4135</v>
      </c>
      <c r="W33" s="521">
        <f t="shared" si="17"/>
        <v>0.5865</v>
      </c>
      <c r="X33" s="522">
        <f t="shared" si="18"/>
        <v>3205.6834888729363</v>
      </c>
      <c r="Y33" s="519">
        <f>'Table 7 Local Revenue'!AQ33</f>
        <v>246493820</v>
      </c>
      <c r="Z33" s="519">
        <f t="shared" si="19"/>
        <v>112528307</v>
      </c>
      <c r="AA33" s="380">
        <f t="shared" si="20"/>
        <v>0</v>
      </c>
      <c r="AB33" s="15">
        <f t="shared" si="21"/>
        <v>77665528.5</v>
      </c>
      <c r="AC33" s="15">
        <f t="shared" si="22"/>
        <v>77665528.5</v>
      </c>
      <c r="AD33" s="519">
        <f t="shared" si="23"/>
        <v>78347431.84023</v>
      </c>
      <c r="AE33" s="523">
        <f t="shared" si="24"/>
        <v>0</v>
      </c>
      <c r="AF33" s="17">
        <f t="shared" si="25"/>
        <v>0</v>
      </c>
      <c r="AG33" s="523">
        <f t="shared" si="26"/>
        <v>94462512</v>
      </c>
      <c r="AH33" s="15">
        <f t="shared" si="27"/>
        <v>2260</v>
      </c>
      <c r="AI33" s="523">
        <f>'Table 4 Level 3'!T31</f>
        <v>41528368</v>
      </c>
      <c r="AJ33" s="15">
        <f t="shared" si="8"/>
        <v>993.7393634840871</v>
      </c>
      <c r="AK33" s="523">
        <f t="shared" si="28"/>
        <v>135990880</v>
      </c>
      <c r="AL33" s="15">
        <f t="shared" si="29"/>
        <v>3254.1488394352714</v>
      </c>
      <c r="AM33" s="869">
        <f>'Table 4 Level 3'!AG31</f>
        <v>60410343.699999996</v>
      </c>
      <c r="AN33" s="870">
        <f t="shared" si="30"/>
        <v>1445.569363484087</v>
      </c>
      <c r="AO33" s="523">
        <f t="shared" si="31"/>
        <v>154872855.7</v>
      </c>
      <c r="AP33" s="15">
        <f t="shared" si="32"/>
        <v>3705.9788394352713</v>
      </c>
      <c r="AQ33" s="17">
        <f t="shared" si="33"/>
        <v>0.42256810059371996</v>
      </c>
      <c r="AR33" s="524">
        <f t="shared" si="34"/>
        <v>64</v>
      </c>
      <c r="AS33" s="15">
        <f t="shared" si="35"/>
        <v>211631041.5</v>
      </c>
      <c r="AT33" s="15">
        <f t="shared" si="9"/>
        <v>5064.16</v>
      </c>
      <c r="AU33" s="524">
        <f t="shared" si="36"/>
        <v>7</v>
      </c>
      <c r="AV33" s="17">
        <f t="shared" si="37"/>
        <v>0.57743189940628</v>
      </c>
      <c r="AW33" s="524">
        <f t="shared" si="38"/>
        <v>366503897.2</v>
      </c>
      <c r="AX33" s="525">
        <f t="shared" si="10"/>
        <v>8770.133936348408</v>
      </c>
      <c r="AY33" s="524">
        <f t="shared" si="39"/>
        <v>30</v>
      </c>
      <c r="AZ33" s="15"/>
      <c r="BA33" s="380"/>
      <c r="BB33" s="524"/>
      <c r="BC33" s="524"/>
      <c r="BD33" s="319"/>
      <c r="BE33" s="216"/>
      <c r="BF33" s="225"/>
      <c r="BG33" s="225"/>
      <c r="BH33" s="225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</row>
    <row r="34" spans="1:154" s="5" customFormat="1" ht="12.75">
      <c r="A34" s="126">
        <v>27</v>
      </c>
      <c r="B34" s="101" t="s">
        <v>328</v>
      </c>
      <c r="C34" s="101">
        <f>'Table 8 Membership, 2.1.09'!R31</f>
        <v>5576</v>
      </c>
      <c r="D34" s="101">
        <v>3001</v>
      </c>
      <c r="E34" s="101">
        <f t="shared" si="1"/>
        <v>660</v>
      </c>
      <c r="F34" s="101">
        <v>2159.5</v>
      </c>
      <c r="G34" s="101">
        <f t="shared" si="2"/>
        <v>130</v>
      </c>
      <c r="H34" s="101">
        <v>857</v>
      </c>
      <c r="I34" s="101">
        <f t="shared" si="11"/>
        <v>1286</v>
      </c>
      <c r="J34" s="101">
        <v>120</v>
      </c>
      <c r="K34" s="14">
        <f t="shared" si="12"/>
        <v>72</v>
      </c>
      <c r="L34" s="14">
        <f t="shared" si="3"/>
        <v>1924</v>
      </c>
      <c r="M34" s="84">
        <f t="shared" si="4"/>
        <v>0.05131</v>
      </c>
      <c r="N34" s="14">
        <f t="shared" si="5"/>
        <v>286</v>
      </c>
      <c r="O34" s="14">
        <f t="shared" si="13"/>
        <v>2434</v>
      </c>
      <c r="P34" s="14">
        <f t="shared" si="6"/>
        <v>8010</v>
      </c>
      <c r="Q34" s="519">
        <f t="shared" si="14"/>
        <v>3855</v>
      </c>
      <c r="R34" s="519">
        <f t="shared" si="7"/>
        <v>30878550</v>
      </c>
      <c r="S34" s="519">
        <f>'Table 6 (Local Deduct Calc.)'!J35</f>
        <v>6546599</v>
      </c>
      <c r="T34" s="519">
        <f t="shared" si="15"/>
        <v>6546599</v>
      </c>
      <c r="U34" s="520">
        <f t="shared" si="16"/>
        <v>24331951</v>
      </c>
      <c r="V34" s="521">
        <f t="shared" si="40"/>
        <v>0.788</v>
      </c>
      <c r="W34" s="521">
        <f t="shared" si="17"/>
        <v>0.212</v>
      </c>
      <c r="X34" s="522">
        <f t="shared" si="18"/>
        <v>1174.0672525107605</v>
      </c>
      <c r="Y34" s="519">
        <f>'Table 7 Local Revenue'!AQ34</f>
        <v>16804699</v>
      </c>
      <c r="Z34" s="519">
        <f t="shared" si="19"/>
        <v>10258100</v>
      </c>
      <c r="AA34" s="380">
        <f t="shared" si="20"/>
        <v>0</v>
      </c>
      <c r="AB34" s="15">
        <f t="shared" si="21"/>
        <v>10498707</v>
      </c>
      <c r="AC34" s="15">
        <f t="shared" si="22"/>
        <v>10258100</v>
      </c>
      <c r="AD34" s="519">
        <f t="shared" si="23"/>
        <v>3740513.584</v>
      </c>
      <c r="AE34" s="523">
        <f t="shared" si="24"/>
        <v>6517586.416</v>
      </c>
      <c r="AF34" s="17">
        <f t="shared" si="25"/>
        <v>0.6354</v>
      </c>
      <c r="AG34" s="523">
        <f t="shared" si="26"/>
        <v>30849537.416</v>
      </c>
      <c r="AH34" s="15">
        <f t="shared" si="27"/>
        <v>5533</v>
      </c>
      <c r="AI34" s="523">
        <f>'Table 4 Level 3'!T32</f>
        <v>2268662</v>
      </c>
      <c r="AJ34" s="15">
        <f t="shared" si="8"/>
        <v>406.8619081779053</v>
      </c>
      <c r="AK34" s="523">
        <f t="shared" si="28"/>
        <v>33118199.416</v>
      </c>
      <c r="AL34" s="15">
        <f t="shared" si="29"/>
        <v>5939.418833572454</v>
      </c>
      <c r="AM34" s="869">
        <f>'Table 4 Level 3'!AG32</f>
        <v>4591902.399999999</v>
      </c>
      <c r="AN34" s="870">
        <f t="shared" si="30"/>
        <v>823.5119081779052</v>
      </c>
      <c r="AO34" s="523">
        <f t="shared" si="31"/>
        <v>35441439.816</v>
      </c>
      <c r="AP34" s="15">
        <f t="shared" si="32"/>
        <v>6356.0688335724535</v>
      </c>
      <c r="AQ34" s="17">
        <f t="shared" si="33"/>
        <v>0.6783551975164587</v>
      </c>
      <c r="AR34" s="524">
        <f t="shared" si="34"/>
        <v>32</v>
      </c>
      <c r="AS34" s="15">
        <f t="shared" si="35"/>
        <v>16804699</v>
      </c>
      <c r="AT34" s="15">
        <f t="shared" si="9"/>
        <v>3013.76</v>
      </c>
      <c r="AU34" s="524">
        <f t="shared" si="36"/>
        <v>37</v>
      </c>
      <c r="AV34" s="17">
        <f t="shared" si="37"/>
        <v>0.32164480248354127</v>
      </c>
      <c r="AW34" s="524">
        <f t="shared" si="38"/>
        <v>52246138.816</v>
      </c>
      <c r="AX34" s="525">
        <f t="shared" si="10"/>
        <v>9369.824034433286</v>
      </c>
      <c r="AY34" s="524">
        <f t="shared" si="39"/>
        <v>13</v>
      </c>
      <c r="AZ34" s="15"/>
      <c r="BA34" s="380"/>
      <c r="BB34" s="524"/>
      <c r="BC34" s="524"/>
      <c r="BD34" s="319"/>
      <c r="BE34" s="216"/>
      <c r="BF34" s="225"/>
      <c r="BG34" s="225"/>
      <c r="BH34" s="225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</row>
    <row r="35" spans="1:154" s="5" customFormat="1" ht="12.75">
      <c r="A35" s="126">
        <v>28</v>
      </c>
      <c r="B35" s="101" t="s">
        <v>329</v>
      </c>
      <c r="C35" s="101">
        <f>'Table 8 Membership, 2.1.09'!R32</f>
        <v>28744</v>
      </c>
      <c r="D35" s="101">
        <v>16663</v>
      </c>
      <c r="E35" s="101">
        <f t="shared" si="1"/>
        <v>3666</v>
      </c>
      <c r="F35" s="101">
        <v>7821.5</v>
      </c>
      <c r="G35" s="101">
        <f t="shared" si="2"/>
        <v>469</v>
      </c>
      <c r="H35" s="101">
        <v>3217</v>
      </c>
      <c r="I35" s="101">
        <f t="shared" si="11"/>
        <v>4826</v>
      </c>
      <c r="J35" s="101">
        <v>1293</v>
      </c>
      <c r="K35" s="14">
        <f t="shared" si="12"/>
        <v>776</v>
      </c>
      <c r="L35" s="14">
        <f t="shared" si="3"/>
        <v>0</v>
      </c>
      <c r="M35" s="84">
        <f t="shared" si="4"/>
        <v>0</v>
      </c>
      <c r="N35" s="14">
        <f t="shared" si="5"/>
        <v>0</v>
      </c>
      <c r="O35" s="14">
        <f t="shared" si="13"/>
        <v>9737</v>
      </c>
      <c r="P35" s="14">
        <f t="shared" si="6"/>
        <v>38481</v>
      </c>
      <c r="Q35" s="519">
        <f t="shared" si="14"/>
        <v>3855</v>
      </c>
      <c r="R35" s="519">
        <f t="shared" si="7"/>
        <v>148344255</v>
      </c>
      <c r="S35" s="519">
        <f>'Table 6 (Local Deduct Calc.)'!J36</f>
        <v>69552532</v>
      </c>
      <c r="T35" s="519">
        <f t="shared" si="15"/>
        <v>69552532</v>
      </c>
      <c r="U35" s="520">
        <f t="shared" si="16"/>
        <v>78791723</v>
      </c>
      <c r="V35" s="521">
        <f t="shared" si="40"/>
        <v>0.5311</v>
      </c>
      <c r="W35" s="521">
        <f t="shared" si="17"/>
        <v>0.4689</v>
      </c>
      <c r="X35" s="522">
        <f t="shared" si="18"/>
        <v>2419.723490119677</v>
      </c>
      <c r="Y35" s="519">
        <f>'Table 7 Local Revenue'!AQ35</f>
        <v>141759884</v>
      </c>
      <c r="Z35" s="519">
        <f t="shared" si="19"/>
        <v>72207352</v>
      </c>
      <c r="AA35" s="380">
        <f t="shared" si="20"/>
        <v>0</v>
      </c>
      <c r="AB35" s="15">
        <f t="shared" si="21"/>
        <v>50437046.7</v>
      </c>
      <c r="AC35" s="15">
        <f t="shared" si="22"/>
        <v>50437046.7</v>
      </c>
      <c r="AD35" s="519">
        <f t="shared" si="23"/>
        <v>40677881.659923606</v>
      </c>
      <c r="AE35" s="523">
        <f t="shared" si="24"/>
        <v>9759165.040076397</v>
      </c>
      <c r="AF35" s="17">
        <f t="shared" si="25"/>
        <v>0.1935</v>
      </c>
      <c r="AG35" s="523">
        <f t="shared" si="26"/>
        <v>88550888.0400764</v>
      </c>
      <c r="AH35" s="15">
        <f t="shared" si="27"/>
        <v>3081</v>
      </c>
      <c r="AI35" s="523">
        <f>'Table 4 Level 3'!T33</f>
        <v>14272919</v>
      </c>
      <c r="AJ35" s="15">
        <f t="shared" si="8"/>
        <v>496.5529849707765</v>
      </c>
      <c r="AK35" s="523">
        <f t="shared" si="28"/>
        <v>102823807.0400764</v>
      </c>
      <c r="AL35" s="15">
        <f t="shared" si="29"/>
        <v>3577.226796551503</v>
      </c>
      <c r="AM35" s="869">
        <f>'Table 4 Level 3'!AG33</f>
        <v>26399725.16</v>
      </c>
      <c r="AN35" s="870">
        <f t="shared" si="30"/>
        <v>918.4429849707765</v>
      </c>
      <c r="AO35" s="523">
        <f t="shared" si="31"/>
        <v>114950613.2000764</v>
      </c>
      <c r="AP35" s="15">
        <f t="shared" si="32"/>
        <v>3999.116796551503</v>
      </c>
      <c r="AQ35" s="17">
        <f t="shared" si="33"/>
        <v>0.4892760675404855</v>
      </c>
      <c r="AR35" s="524">
        <f t="shared" si="34"/>
        <v>60</v>
      </c>
      <c r="AS35" s="15">
        <f t="shared" si="35"/>
        <v>119989578.7</v>
      </c>
      <c r="AT35" s="15">
        <f t="shared" si="9"/>
        <v>4174.42</v>
      </c>
      <c r="AU35" s="524">
        <f t="shared" si="36"/>
        <v>15</v>
      </c>
      <c r="AV35" s="17">
        <f t="shared" si="37"/>
        <v>0.5107239324595145</v>
      </c>
      <c r="AW35" s="524">
        <f t="shared" si="38"/>
        <v>234940191.9000764</v>
      </c>
      <c r="AX35" s="525">
        <f t="shared" si="10"/>
        <v>8173.5385436987335</v>
      </c>
      <c r="AY35" s="524">
        <f t="shared" si="39"/>
        <v>55</v>
      </c>
      <c r="AZ35" s="15"/>
      <c r="BA35" s="380"/>
      <c r="BB35" s="524"/>
      <c r="BC35" s="524"/>
      <c r="BD35" s="319"/>
      <c r="BE35" s="216"/>
      <c r="BF35" s="225"/>
      <c r="BG35" s="225"/>
      <c r="BH35" s="22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</row>
    <row r="36" spans="1:154" s="5" customFormat="1" ht="12.75">
      <c r="A36" s="126">
        <v>29</v>
      </c>
      <c r="B36" s="101" t="s">
        <v>330</v>
      </c>
      <c r="C36" s="101">
        <f>'Table 8 Membership, 2.1.09'!R33</f>
        <v>13694</v>
      </c>
      <c r="D36" s="101">
        <v>7910</v>
      </c>
      <c r="E36" s="101">
        <f t="shared" si="1"/>
        <v>1740</v>
      </c>
      <c r="F36" s="101">
        <v>5106.5</v>
      </c>
      <c r="G36" s="101">
        <f t="shared" si="2"/>
        <v>306</v>
      </c>
      <c r="H36" s="101">
        <v>1603</v>
      </c>
      <c r="I36" s="101">
        <f t="shared" si="11"/>
        <v>2405</v>
      </c>
      <c r="J36" s="101">
        <v>217</v>
      </c>
      <c r="K36" s="14">
        <f t="shared" si="12"/>
        <v>130</v>
      </c>
      <c r="L36" s="14">
        <f t="shared" si="3"/>
        <v>0</v>
      </c>
      <c r="M36" s="84">
        <f t="shared" si="4"/>
        <v>0</v>
      </c>
      <c r="N36" s="14">
        <f t="shared" si="5"/>
        <v>0</v>
      </c>
      <c r="O36" s="14">
        <f t="shared" si="13"/>
        <v>4581</v>
      </c>
      <c r="P36" s="14">
        <f t="shared" si="6"/>
        <v>18275</v>
      </c>
      <c r="Q36" s="519">
        <f t="shared" si="14"/>
        <v>3855</v>
      </c>
      <c r="R36" s="519">
        <f t="shared" si="7"/>
        <v>70450125</v>
      </c>
      <c r="S36" s="519">
        <f>'Table 6 (Local Deduct Calc.)'!J37</f>
        <v>23714327</v>
      </c>
      <c r="T36" s="519">
        <f t="shared" si="15"/>
        <v>23714327</v>
      </c>
      <c r="U36" s="520">
        <f t="shared" si="16"/>
        <v>46735798</v>
      </c>
      <c r="V36" s="521">
        <f t="shared" si="40"/>
        <v>0.6634</v>
      </c>
      <c r="W36" s="521">
        <f t="shared" si="17"/>
        <v>0.3366</v>
      </c>
      <c r="X36" s="522">
        <f t="shared" si="18"/>
        <v>1731.7311961442967</v>
      </c>
      <c r="Y36" s="519">
        <f>'Table 7 Local Revenue'!AQ36</f>
        <v>51802974</v>
      </c>
      <c r="Z36" s="519">
        <f t="shared" si="19"/>
        <v>28088647</v>
      </c>
      <c r="AA36" s="380">
        <f t="shared" si="20"/>
        <v>0</v>
      </c>
      <c r="AB36" s="15">
        <f t="shared" si="21"/>
        <v>23953042.5</v>
      </c>
      <c r="AC36" s="15">
        <f t="shared" si="22"/>
        <v>23953042.5</v>
      </c>
      <c r="AD36" s="519">
        <f t="shared" si="23"/>
        <v>13867661.86146</v>
      </c>
      <c r="AE36" s="523">
        <f t="shared" si="24"/>
        <v>10085380.63854</v>
      </c>
      <c r="AF36" s="17">
        <f t="shared" si="25"/>
        <v>0.421</v>
      </c>
      <c r="AG36" s="523">
        <f t="shared" si="26"/>
        <v>56821178.63854</v>
      </c>
      <c r="AH36" s="15">
        <f t="shared" si="27"/>
        <v>4149</v>
      </c>
      <c r="AI36" s="523">
        <f>'Table 4 Level 3'!T34</f>
        <v>6645837</v>
      </c>
      <c r="AJ36" s="15">
        <f t="shared" si="8"/>
        <v>485.3101358259092</v>
      </c>
      <c r="AK36" s="523">
        <f t="shared" si="28"/>
        <v>63467015.63854</v>
      </c>
      <c r="AL36" s="15">
        <f t="shared" si="29"/>
        <v>4634.658656239229</v>
      </c>
      <c r="AM36" s="869">
        <f>'Table 4 Level 3'!AG34</f>
        <v>12906459.920000002</v>
      </c>
      <c r="AN36" s="870">
        <f t="shared" si="30"/>
        <v>942.4901358259093</v>
      </c>
      <c r="AO36" s="523">
        <f t="shared" si="31"/>
        <v>69727638.55854</v>
      </c>
      <c r="AP36" s="15">
        <f t="shared" si="32"/>
        <v>5091.838656239229</v>
      </c>
      <c r="AQ36" s="17">
        <f t="shared" si="33"/>
        <v>0.5939574408800222</v>
      </c>
      <c r="AR36" s="524">
        <f t="shared" si="34"/>
        <v>47</v>
      </c>
      <c r="AS36" s="15">
        <f t="shared" si="35"/>
        <v>47667369.5</v>
      </c>
      <c r="AT36" s="15">
        <f t="shared" si="9"/>
        <v>3480.89</v>
      </c>
      <c r="AU36" s="524">
        <f t="shared" si="36"/>
        <v>24</v>
      </c>
      <c r="AV36" s="17">
        <f t="shared" si="37"/>
        <v>0.40604255911997783</v>
      </c>
      <c r="AW36" s="524">
        <f t="shared" si="38"/>
        <v>117395008.05854</v>
      </c>
      <c r="AX36" s="525">
        <f t="shared" si="10"/>
        <v>8572.733172085585</v>
      </c>
      <c r="AY36" s="524">
        <f t="shared" si="39"/>
        <v>39</v>
      </c>
      <c r="AZ36" s="15"/>
      <c r="BA36" s="380"/>
      <c r="BB36" s="524"/>
      <c r="BC36" s="524"/>
      <c r="BD36" s="319"/>
      <c r="BE36" s="216"/>
      <c r="BF36" s="225"/>
      <c r="BG36" s="225"/>
      <c r="BH36" s="225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</row>
    <row r="37" spans="1:154" s="22" customFormat="1" ht="12.75">
      <c r="A37" s="127">
        <v>30</v>
      </c>
      <c r="B37" s="102" t="s">
        <v>331</v>
      </c>
      <c r="C37" s="102">
        <f>'Table 8 Membership, 2.1.09'!R34</f>
        <v>2434</v>
      </c>
      <c r="D37" s="102">
        <v>1228</v>
      </c>
      <c r="E37" s="102">
        <f t="shared" si="1"/>
        <v>270</v>
      </c>
      <c r="F37" s="102">
        <v>1032.5</v>
      </c>
      <c r="G37" s="102">
        <f t="shared" si="2"/>
        <v>62</v>
      </c>
      <c r="H37" s="102">
        <v>241</v>
      </c>
      <c r="I37" s="102">
        <f t="shared" si="11"/>
        <v>362</v>
      </c>
      <c r="J37" s="102">
        <v>26</v>
      </c>
      <c r="K37" s="20">
        <f t="shared" si="12"/>
        <v>16</v>
      </c>
      <c r="L37" s="20">
        <f t="shared" si="3"/>
        <v>5066</v>
      </c>
      <c r="M37" s="85">
        <f t="shared" si="4"/>
        <v>0.13509</v>
      </c>
      <c r="N37" s="20">
        <f t="shared" si="5"/>
        <v>329</v>
      </c>
      <c r="O37" s="20">
        <f t="shared" si="13"/>
        <v>1039</v>
      </c>
      <c r="P37" s="14">
        <f t="shared" si="6"/>
        <v>3473</v>
      </c>
      <c r="Q37" s="526">
        <f t="shared" si="14"/>
        <v>3855</v>
      </c>
      <c r="R37" s="526">
        <f t="shared" si="7"/>
        <v>13388415</v>
      </c>
      <c r="S37" s="526">
        <f>'Table 6 (Local Deduct Calc.)'!J38</f>
        <v>2778447</v>
      </c>
      <c r="T37" s="526">
        <f t="shared" si="15"/>
        <v>2778447</v>
      </c>
      <c r="U37" s="527">
        <f t="shared" si="16"/>
        <v>10609968</v>
      </c>
      <c r="V37" s="528">
        <f t="shared" si="40"/>
        <v>0.7925</v>
      </c>
      <c r="W37" s="529">
        <f t="shared" si="17"/>
        <v>0.2075</v>
      </c>
      <c r="X37" s="530">
        <f t="shared" si="18"/>
        <v>1141.514790468365</v>
      </c>
      <c r="Y37" s="526">
        <f>'Table 7 Local Revenue'!AQ37</f>
        <v>6513666</v>
      </c>
      <c r="Z37" s="526">
        <f t="shared" si="19"/>
        <v>3735219</v>
      </c>
      <c r="AA37" s="381">
        <f t="shared" si="20"/>
        <v>0</v>
      </c>
      <c r="AB37" s="21">
        <f t="shared" si="21"/>
        <v>4552061.100000001</v>
      </c>
      <c r="AC37" s="21">
        <f t="shared" si="22"/>
        <v>3735219</v>
      </c>
      <c r="AD37" s="526">
        <f t="shared" si="23"/>
        <v>1333099.6611</v>
      </c>
      <c r="AE37" s="531">
        <f t="shared" si="24"/>
        <v>2402119.3389</v>
      </c>
      <c r="AF37" s="374">
        <f t="shared" si="25"/>
        <v>0.6431</v>
      </c>
      <c r="AG37" s="531">
        <f t="shared" si="26"/>
        <v>13012087.3389</v>
      </c>
      <c r="AH37" s="21">
        <f t="shared" si="27"/>
        <v>5346</v>
      </c>
      <c r="AI37" s="531">
        <f>'Table 4 Level 3'!T35</f>
        <v>987178</v>
      </c>
      <c r="AJ37" s="21">
        <f t="shared" si="8"/>
        <v>405.5784716516023</v>
      </c>
      <c r="AK37" s="531">
        <f t="shared" si="28"/>
        <v>13999265.3389</v>
      </c>
      <c r="AL37" s="21">
        <f t="shared" si="29"/>
        <v>5751.546975718981</v>
      </c>
      <c r="AM37" s="871">
        <f>'Table 4 Level 3'!AG35</f>
        <v>2069991.5799999998</v>
      </c>
      <c r="AN37" s="872">
        <f t="shared" si="30"/>
        <v>850.4484716516023</v>
      </c>
      <c r="AO37" s="531">
        <f t="shared" si="31"/>
        <v>15082078.9189</v>
      </c>
      <c r="AP37" s="21">
        <f t="shared" si="32"/>
        <v>6196.416975718981</v>
      </c>
      <c r="AQ37" s="374">
        <f t="shared" si="33"/>
        <v>0.6983819717976286</v>
      </c>
      <c r="AR37" s="532">
        <f t="shared" si="34"/>
        <v>26</v>
      </c>
      <c r="AS37" s="21">
        <f t="shared" si="35"/>
        <v>6513666</v>
      </c>
      <c r="AT37" s="21">
        <f t="shared" si="9"/>
        <v>2676.12</v>
      </c>
      <c r="AU37" s="532">
        <f t="shared" si="36"/>
        <v>45</v>
      </c>
      <c r="AV37" s="374">
        <f t="shared" si="37"/>
        <v>0.3016180282023715</v>
      </c>
      <c r="AW37" s="532">
        <f t="shared" si="38"/>
        <v>21595744.918899998</v>
      </c>
      <c r="AX37" s="533">
        <f t="shared" si="10"/>
        <v>8872.532834387837</v>
      </c>
      <c r="AY37" s="532">
        <f t="shared" si="39"/>
        <v>26</v>
      </c>
      <c r="AZ37" s="21"/>
      <c r="BA37" s="381"/>
      <c r="BB37" s="532"/>
      <c r="BC37" s="532"/>
      <c r="BD37" s="319"/>
      <c r="BE37" s="216"/>
      <c r="BF37" s="225"/>
      <c r="BG37" s="225"/>
      <c r="BH37" s="225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</row>
    <row r="38" spans="1:154" s="5" customFormat="1" ht="12.75">
      <c r="A38" s="126">
        <v>31</v>
      </c>
      <c r="B38" s="101" t="s">
        <v>332</v>
      </c>
      <c r="C38" s="101">
        <f>'Table 8 Membership, 2.1.09'!R35</f>
        <v>6543</v>
      </c>
      <c r="D38" s="101">
        <v>3839</v>
      </c>
      <c r="E38" s="101">
        <f t="shared" si="1"/>
        <v>845</v>
      </c>
      <c r="F38" s="101">
        <v>2010.5</v>
      </c>
      <c r="G38" s="101">
        <f t="shared" si="2"/>
        <v>121</v>
      </c>
      <c r="H38" s="101">
        <v>792</v>
      </c>
      <c r="I38" s="101">
        <f t="shared" si="11"/>
        <v>1188</v>
      </c>
      <c r="J38" s="101">
        <v>290</v>
      </c>
      <c r="K38" s="14">
        <f t="shared" si="12"/>
        <v>174</v>
      </c>
      <c r="L38" s="14">
        <f t="shared" si="3"/>
        <v>957</v>
      </c>
      <c r="M38" s="84">
        <f t="shared" si="4"/>
        <v>0.02552</v>
      </c>
      <c r="N38" s="14">
        <f t="shared" si="5"/>
        <v>167</v>
      </c>
      <c r="O38" s="14">
        <f t="shared" si="13"/>
        <v>2495</v>
      </c>
      <c r="P38" s="43">
        <f t="shared" si="6"/>
        <v>9038</v>
      </c>
      <c r="Q38" s="519">
        <f t="shared" si="14"/>
        <v>3855</v>
      </c>
      <c r="R38" s="519">
        <f t="shared" si="7"/>
        <v>34841490</v>
      </c>
      <c r="S38" s="519">
        <f>'Table 6 (Local Deduct Calc.)'!J39</f>
        <v>12601901</v>
      </c>
      <c r="T38" s="519">
        <f t="shared" si="15"/>
        <v>12601901</v>
      </c>
      <c r="U38" s="520">
        <f t="shared" si="16"/>
        <v>22239589</v>
      </c>
      <c r="V38" s="521">
        <f t="shared" si="40"/>
        <v>0.6383</v>
      </c>
      <c r="W38" s="521">
        <f t="shared" si="17"/>
        <v>0.3617</v>
      </c>
      <c r="X38" s="522">
        <f t="shared" si="18"/>
        <v>1926.0126853125478</v>
      </c>
      <c r="Y38" s="519">
        <f>'Table 7 Local Revenue'!AQ38</f>
        <v>32006236</v>
      </c>
      <c r="Z38" s="519">
        <f t="shared" si="19"/>
        <v>19404335</v>
      </c>
      <c r="AA38" s="380">
        <f t="shared" si="20"/>
        <v>0</v>
      </c>
      <c r="AB38" s="15">
        <f t="shared" si="21"/>
        <v>11846106.600000001</v>
      </c>
      <c r="AC38" s="15">
        <f t="shared" si="22"/>
        <v>11846106.600000001</v>
      </c>
      <c r="AD38" s="519">
        <f t="shared" si="23"/>
        <v>7369747.222418401</v>
      </c>
      <c r="AE38" s="523">
        <f t="shared" si="24"/>
        <v>4476359.3775816</v>
      </c>
      <c r="AF38" s="17">
        <f t="shared" si="25"/>
        <v>0.3779</v>
      </c>
      <c r="AG38" s="523">
        <f t="shared" si="26"/>
        <v>26715948.3775816</v>
      </c>
      <c r="AH38" s="15">
        <f t="shared" si="27"/>
        <v>4083</v>
      </c>
      <c r="AI38" s="523">
        <f>'Table 4 Level 3'!T36</f>
        <v>2129933</v>
      </c>
      <c r="AJ38" s="15">
        <f t="shared" si="8"/>
        <v>325.5285037444597</v>
      </c>
      <c r="AK38" s="523">
        <f t="shared" si="28"/>
        <v>28845881.3775816</v>
      </c>
      <c r="AL38" s="15">
        <f t="shared" si="29"/>
        <v>4408.662903497111</v>
      </c>
      <c r="AM38" s="869">
        <f>'Table 4 Level 3'!AG36</f>
        <v>4868701.9399999995</v>
      </c>
      <c r="AN38" s="870">
        <f t="shared" si="30"/>
        <v>744.1085037444597</v>
      </c>
      <c r="AO38" s="523">
        <f t="shared" si="31"/>
        <v>31584650.3175816</v>
      </c>
      <c r="AP38" s="15">
        <f t="shared" si="32"/>
        <v>4827.242903497112</v>
      </c>
      <c r="AQ38" s="17">
        <f t="shared" si="33"/>
        <v>0.5636828858634448</v>
      </c>
      <c r="AR38" s="524">
        <f t="shared" si="34"/>
        <v>50</v>
      </c>
      <c r="AS38" s="15">
        <f t="shared" si="35"/>
        <v>24448007.6</v>
      </c>
      <c r="AT38" s="15">
        <f t="shared" si="9"/>
        <v>3736.51</v>
      </c>
      <c r="AU38" s="524">
        <f t="shared" si="36"/>
        <v>20</v>
      </c>
      <c r="AV38" s="17">
        <f t="shared" si="37"/>
        <v>0.4363171141365551</v>
      </c>
      <c r="AW38" s="524">
        <f t="shared" si="38"/>
        <v>56032657.9175816</v>
      </c>
      <c r="AX38" s="525">
        <f t="shared" si="10"/>
        <v>8563.756368268623</v>
      </c>
      <c r="AY38" s="524">
        <f t="shared" si="39"/>
        <v>40</v>
      </c>
      <c r="AZ38" s="15"/>
      <c r="BA38" s="380"/>
      <c r="BB38" s="524"/>
      <c r="BC38" s="524"/>
      <c r="BD38" s="319"/>
      <c r="BE38" s="216"/>
      <c r="BF38" s="225"/>
      <c r="BG38" s="225"/>
      <c r="BH38" s="225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</row>
    <row r="39" spans="1:154" s="5" customFormat="1" ht="12.75">
      <c r="A39" s="126">
        <v>32</v>
      </c>
      <c r="B39" s="101" t="s">
        <v>333</v>
      </c>
      <c r="C39" s="101">
        <f>'Table 8 Membership, 2.1.09'!R36</f>
        <v>23578</v>
      </c>
      <c r="D39" s="101">
        <v>10384</v>
      </c>
      <c r="E39" s="101">
        <f t="shared" si="1"/>
        <v>2284</v>
      </c>
      <c r="F39" s="101">
        <v>7577</v>
      </c>
      <c r="G39" s="101">
        <f t="shared" si="2"/>
        <v>455</v>
      </c>
      <c r="H39" s="101">
        <v>3181</v>
      </c>
      <c r="I39" s="101">
        <f t="shared" si="11"/>
        <v>4772</v>
      </c>
      <c r="J39" s="101">
        <v>863</v>
      </c>
      <c r="K39" s="14">
        <f t="shared" si="12"/>
        <v>518</v>
      </c>
      <c r="L39" s="14">
        <f t="shared" si="3"/>
        <v>0</v>
      </c>
      <c r="M39" s="84">
        <f t="shared" si="4"/>
        <v>0</v>
      </c>
      <c r="N39" s="14">
        <f t="shared" si="5"/>
        <v>0</v>
      </c>
      <c r="O39" s="14">
        <f t="shared" si="13"/>
        <v>8029</v>
      </c>
      <c r="P39" s="14">
        <f t="shared" si="6"/>
        <v>31607</v>
      </c>
      <c r="Q39" s="519">
        <f t="shared" si="14"/>
        <v>3855</v>
      </c>
      <c r="R39" s="519">
        <f t="shared" si="7"/>
        <v>121844985</v>
      </c>
      <c r="S39" s="519">
        <f>'Table 6 (Local Deduct Calc.)'!J40</f>
        <v>17856277</v>
      </c>
      <c r="T39" s="519">
        <f t="shared" si="15"/>
        <v>17856277</v>
      </c>
      <c r="U39" s="520">
        <f t="shared" si="16"/>
        <v>103988708</v>
      </c>
      <c r="V39" s="521">
        <f t="shared" si="40"/>
        <v>0.8535</v>
      </c>
      <c r="W39" s="521">
        <f t="shared" si="17"/>
        <v>0.1465</v>
      </c>
      <c r="X39" s="522">
        <f t="shared" si="18"/>
        <v>757.327890406311</v>
      </c>
      <c r="Y39" s="519">
        <f>'Table 7 Local Revenue'!AQ39</f>
        <v>46562037.89</v>
      </c>
      <c r="Z39" s="789">
        <f>IF(Y39-T39&gt;0,Y39-T39,0)-402433.89</f>
        <v>28303327</v>
      </c>
      <c r="AA39" s="380">
        <f t="shared" si="20"/>
        <v>0</v>
      </c>
      <c r="AB39" s="15">
        <f t="shared" si="21"/>
        <v>41427294.900000006</v>
      </c>
      <c r="AC39" s="15">
        <f t="shared" si="22"/>
        <v>28303327</v>
      </c>
      <c r="AD39" s="519">
        <f t="shared" si="23"/>
        <v>7131872.337459999</v>
      </c>
      <c r="AE39" s="523">
        <f t="shared" si="24"/>
        <v>21171454.66254</v>
      </c>
      <c r="AF39" s="17">
        <f t="shared" si="25"/>
        <v>0.748</v>
      </c>
      <c r="AG39" s="523">
        <f t="shared" si="26"/>
        <v>125160162.66254</v>
      </c>
      <c r="AH39" s="15">
        <f t="shared" si="27"/>
        <v>5308</v>
      </c>
      <c r="AI39" s="523">
        <f>'Table 4 Level 3'!T37</f>
        <v>7269018</v>
      </c>
      <c r="AJ39" s="15">
        <f t="shared" si="8"/>
        <v>308.2966324539825</v>
      </c>
      <c r="AK39" s="523">
        <f t="shared" si="28"/>
        <v>132429180.66254</v>
      </c>
      <c r="AL39" s="15">
        <f t="shared" si="29"/>
        <v>5616.641812814488</v>
      </c>
      <c r="AM39" s="869">
        <f>'Table 4 Level 3'!AG37</f>
        <v>16124914.8</v>
      </c>
      <c r="AN39" s="870">
        <f t="shared" si="30"/>
        <v>683.8966324539825</v>
      </c>
      <c r="AO39" s="523">
        <f t="shared" si="31"/>
        <v>141285077.46254</v>
      </c>
      <c r="AP39" s="15">
        <f t="shared" si="32"/>
        <v>5992.241812814488</v>
      </c>
      <c r="AQ39" s="17">
        <f t="shared" si="33"/>
        <v>0.7537427915274043</v>
      </c>
      <c r="AR39" s="524">
        <f t="shared" si="34"/>
        <v>11</v>
      </c>
      <c r="AS39" s="15">
        <f t="shared" si="35"/>
        <v>46159604</v>
      </c>
      <c r="AT39" s="15">
        <f t="shared" si="9"/>
        <v>1957.74</v>
      </c>
      <c r="AU39" s="524">
        <f t="shared" si="36"/>
        <v>60</v>
      </c>
      <c r="AV39" s="17">
        <f t="shared" si="37"/>
        <v>0.24625720847259566</v>
      </c>
      <c r="AW39" s="524">
        <f t="shared" si="38"/>
        <v>187444681.46254</v>
      </c>
      <c r="AX39" s="525">
        <f t="shared" si="10"/>
        <v>7949.982248814149</v>
      </c>
      <c r="AY39" s="524">
        <f t="shared" si="39"/>
        <v>60</v>
      </c>
      <c r="AZ39" s="15"/>
      <c r="BA39" s="380"/>
      <c r="BB39" s="524"/>
      <c r="BC39" s="524"/>
      <c r="BD39" s="319"/>
      <c r="BE39" s="216"/>
      <c r="BF39" s="225"/>
      <c r="BG39" s="225"/>
      <c r="BH39" s="225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</row>
    <row r="40" spans="1:154" s="5" customFormat="1" ht="12.75">
      <c r="A40" s="126">
        <v>33</v>
      </c>
      <c r="B40" s="101" t="s">
        <v>334</v>
      </c>
      <c r="C40" s="101">
        <f>'Table 8 Membership, 2.1.09'!R37</f>
        <v>1958</v>
      </c>
      <c r="D40" s="101">
        <v>1724</v>
      </c>
      <c r="E40" s="101">
        <f aca="true" t="shared" si="41" ref="E40:E76">ROUND($E$4*D40,0)</f>
        <v>379</v>
      </c>
      <c r="F40" s="101">
        <v>531.5</v>
      </c>
      <c r="G40" s="101">
        <f aca="true" t="shared" si="42" ref="G40:G76">ROUND($G$4*F40,0)</f>
        <v>32</v>
      </c>
      <c r="H40" s="101">
        <v>248</v>
      </c>
      <c r="I40" s="101">
        <f t="shared" si="11"/>
        <v>372</v>
      </c>
      <c r="J40" s="101">
        <v>5</v>
      </c>
      <c r="K40" s="14">
        <f t="shared" si="12"/>
        <v>3</v>
      </c>
      <c r="L40" s="14">
        <f aca="true" t="shared" si="43" ref="L40:L76">IF(C40&lt;$L$4,$L$4-C40,0)</f>
        <v>5542</v>
      </c>
      <c r="M40" s="84">
        <f aca="true" t="shared" si="44" ref="M40:M71">ROUND(L40/$M$4,5)</f>
        <v>0.14779</v>
      </c>
      <c r="N40" s="14">
        <f aca="true" t="shared" si="45" ref="N40:N71">ROUND(C40*M40,0)</f>
        <v>289</v>
      </c>
      <c r="O40" s="14">
        <f t="shared" si="13"/>
        <v>1075</v>
      </c>
      <c r="P40" s="14">
        <f aca="true" t="shared" si="46" ref="P40:P71">O40+C40</f>
        <v>3033</v>
      </c>
      <c r="Q40" s="519">
        <f t="shared" si="14"/>
        <v>3855</v>
      </c>
      <c r="R40" s="519">
        <f aca="true" t="shared" si="47" ref="R40:R71">ROUND(P40*Q40,0)</f>
        <v>11692215</v>
      </c>
      <c r="S40" s="519">
        <f>'Table 6 (Local Deduct Calc.)'!J41</f>
        <v>1847369</v>
      </c>
      <c r="T40" s="519">
        <f t="shared" si="15"/>
        <v>1847369</v>
      </c>
      <c r="U40" s="520">
        <f t="shared" si="16"/>
        <v>9844846</v>
      </c>
      <c r="V40" s="521">
        <f t="shared" si="40"/>
        <v>0.842</v>
      </c>
      <c r="W40" s="521">
        <f t="shared" si="17"/>
        <v>0.158</v>
      </c>
      <c r="X40" s="522">
        <f t="shared" si="18"/>
        <v>943.4979570990807</v>
      </c>
      <c r="Y40" s="519">
        <f>'Table 7 Local Revenue'!AQ40</f>
        <v>5826483</v>
      </c>
      <c r="Z40" s="519">
        <f t="shared" si="19"/>
        <v>3979114</v>
      </c>
      <c r="AA40" s="380">
        <f t="shared" si="20"/>
        <v>0</v>
      </c>
      <c r="AB40" s="15">
        <f t="shared" si="21"/>
        <v>3975353.1</v>
      </c>
      <c r="AC40" s="15">
        <f t="shared" si="22"/>
        <v>3975353.1</v>
      </c>
      <c r="AD40" s="519">
        <f t="shared" si="23"/>
        <v>1080341.958456</v>
      </c>
      <c r="AE40" s="523">
        <f t="shared" si="24"/>
        <v>2895011.1415440002</v>
      </c>
      <c r="AF40" s="17">
        <f t="shared" si="25"/>
        <v>0.7282</v>
      </c>
      <c r="AG40" s="523">
        <f t="shared" si="26"/>
        <v>12739857.141544</v>
      </c>
      <c r="AH40" s="15">
        <f t="shared" si="27"/>
        <v>6507</v>
      </c>
      <c r="AI40" s="523">
        <f>'Table 4 Level 3'!T38</f>
        <v>1005291</v>
      </c>
      <c r="AJ40" s="15">
        <f aca="true" t="shared" si="48" ref="AJ40:AJ71">AI40/C40</f>
        <v>513.4274770173647</v>
      </c>
      <c r="AK40" s="523">
        <f t="shared" si="28"/>
        <v>13745148.141544</v>
      </c>
      <c r="AL40" s="15">
        <f aca="true" t="shared" si="49" ref="AL40:AL71">AK40/C40</f>
        <v>7019.993943587334</v>
      </c>
      <c r="AM40" s="869">
        <f>'Table 4 Level 3'!AG38</f>
        <v>1564476.22</v>
      </c>
      <c r="AN40" s="870">
        <f t="shared" si="30"/>
        <v>799.0174770173646</v>
      </c>
      <c r="AO40" s="523">
        <f t="shared" si="31"/>
        <v>14304333.361544</v>
      </c>
      <c r="AP40" s="15">
        <f t="shared" si="32"/>
        <v>7305.583943587334</v>
      </c>
      <c r="AQ40" s="17">
        <f t="shared" si="33"/>
        <v>0.71070174118985</v>
      </c>
      <c r="AR40" s="524">
        <f t="shared" si="34"/>
        <v>21</v>
      </c>
      <c r="AS40" s="15">
        <f t="shared" si="35"/>
        <v>5822722.1</v>
      </c>
      <c r="AT40" s="15">
        <f aca="true" t="shared" si="50" ref="AT40:AT71">ROUND(AS40/C40,2)</f>
        <v>2973.81</v>
      </c>
      <c r="AU40" s="524">
        <f t="shared" si="36"/>
        <v>38</v>
      </c>
      <c r="AV40" s="17">
        <f t="shared" si="37"/>
        <v>0.28929825881015003</v>
      </c>
      <c r="AW40" s="524">
        <f t="shared" si="38"/>
        <v>20127055.461544</v>
      </c>
      <c r="AX40" s="525">
        <f aca="true" t="shared" si="51" ref="AX40:AX71">AW40/C40</f>
        <v>10279.39502632482</v>
      </c>
      <c r="AY40" s="524">
        <f t="shared" si="39"/>
        <v>3</v>
      </c>
      <c r="AZ40" s="15"/>
      <c r="BA40" s="380"/>
      <c r="BB40" s="524"/>
      <c r="BC40" s="524"/>
      <c r="BD40" s="319"/>
      <c r="BE40" s="216"/>
      <c r="BF40" s="225"/>
      <c r="BG40" s="225"/>
      <c r="BH40" s="225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</row>
    <row r="41" spans="1:154" s="5" customFormat="1" ht="12.75">
      <c r="A41" s="126">
        <v>34</v>
      </c>
      <c r="B41" s="101" t="s">
        <v>335</v>
      </c>
      <c r="C41" s="101">
        <f>'Table 8 Membership, 2.1.09'!R38</f>
        <v>4655</v>
      </c>
      <c r="D41" s="101">
        <v>3598</v>
      </c>
      <c r="E41" s="101">
        <f t="shared" si="41"/>
        <v>792</v>
      </c>
      <c r="F41" s="101">
        <v>1383</v>
      </c>
      <c r="G41" s="101">
        <f t="shared" si="42"/>
        <v>83</v>
      </c>
      <c r="H41" s="101">
        <v>764</v>
      </c>
      <c r="I41" s="101">
        <f t="shared" si="11"/>
        <v>1146</v>
      </c>
      <c r="J41" s="101">
        <v>36</v>
      </c>
      <c r="K41" s="14">
        <f t="shared" si="12"/>
        <v>22</v>
      </c>
      <c r="L41" s="14">
        <f t="shared" si="43"/>
        <v>2845</v>
      </c>
      <c r="M41" s="84">
        <f t="shared" si="44"/>
        <v>0.07587</v>
      </c>
      <c r="N41" s="14">
        <f t="shared" si="45"/>
        <v>353</v>
      </c>
      <c r="O41" s="14">
        <f t="shared" si="13"/>
        <v>2396</v>
      </c>
      <c r="P41" s="14">
        <f t="shared" si="46"/>
        <v>7051</v>
      </c>
      <c r="Q41" s="519">
        <f t="shared" si="14"/>
        <v>3855</v>
      </c>
      <c r="R41" s="519">
        <f t="shared" si="47"/>
        <v>27181605</v>
      </c>
      <c r="S41" s="519">
        <f>'Table 6 (Local Deduct Calc.)'!J42</f>
        <v>5573472</v>
      </c>
      <c r="T41" s="519">
        <f t="shared" si="15"/>
        <v>5573472</v>
      </c>
      <c r="U41" s="520">
        <f t="shared" si="16"/>
        <v>21608133</v>
      </c>
      <c r="V41" s="521">
        <f t="shared" si="40"/>
        <v>0.795</v>
      </c>
      <c r="W41" s="521">
        <f t="shared" si="17"/>
        <v>0.205</v>
      </c>
      <c r="X41" s="522">
        <f t="shared" si="18"/>
        <v>1197.3087003222342</v>
      </c>
      <c r="Y41" s="519">
        <f>'Table 7 Local Revenue'!AQ41</f>
        <v>11682355</v>
      </c>
      <c r="Z41" s="519">
        <f t="shared" si="19"/>
        <v>6108883</v>
      </c>
      <c r="AA41" s="380">
        <f t="shared" si="20"/>
        <v>0</v>
      </c>
      <c r="AB41" s="15">
        <f t="shared" si="21"/>
        <v>9241745.700000001</v>
      </c>
      <c r="AC41" s="15">
        <f t="shared" si="22"/>
        <v>6108883</v>
      </c>
      <c r="AD41" s="519">
        <f t="shared" si="23"/>
        <v>2153992.1457999996</v>
      </c>
      <c r="AE41" s="523">
        <f t="shared" si="24"/>
        <v>3954890.8542000004</v>
      </c>
      <c r="AF41" s="17">
        <f t="shared" si="25"/>
        <v>0.6474</v>
      </c>
      <c r="AG41" s="523">
        <f t="shared" si="26"/>
        <v>25563023.8542</v>
      </c>
      <c r="AH41" s="15">
        <f t="shared" si="27"/>
        <v>5492</v>
      </c>
      <c r="AI41" s="523">
        <f>'Table 4 Level 3'!T39</f>
        <v>3604482</v>
      </c>
      <c r="AJ41" s="15">
        <f t="shared" si="48"/>
        <v>774.3248120300752</v>
      </c>
      <c r="AK41" s="523">
        <f t="shared" si="28"/>
        <v>29167505.8542</v>
      </c>
      <c r="AL41" s="15">
        <f t="shared" si="49"/>
        <v>6265.844436992482</v>
      </c>
      <c r="AM41" s="869">
        <f>'Table 4 Level 3'!AG39</f>
        <v>5172192.9</v>
      </c>
      <c r="AN41" s="870">
        <f t="shared" si="30"/>
        <v>1111.1048120300752</v>
      </c>
      <c r="AO41" s="523">
        <f>AG41+AM41</f>
        <v>30735216.754200004</v>
      </c>
      <c r="AP41" s="15">
        <f t="shared" si="32"/>
        <v>6602.6244369924825</v>
      </c>
      <c r="AQ41" s="17">
        <f t="shared" si="33"/>
        <v>0.7245868983803094</v>
      </c>
      <c r="AR41" s="524">
        <f t="shared" si="34"/>
        <v>16</v>
      </c>
      <c r="AS41" s="15">
        <f t="shared" si="35"/>
        <v>11682355</v>
      </c>
      <c r="AT41" s="15">
        <f t="shared" si="50"/>
        <v>2509.64</v>
      </c>
      <c r="AU41" s="524">
        <f t="shared" si="36"/>
        <v>49</v>
      </c>
      <c r="AV41" s="17">
        <f t="shared" si="37"/>
        <v>0.2754131016196905</v>
      </c>
      <c r="AW41" s="524">
        <f t="shared" si="38"/>
        <v>42417571.754200004</v>
      </c>
      <c r="AX41" s="525">
        <f t="shared" si="51"/>
        <v>9112.260312395274</v>
      </c>
      <c r="AY41" s="524">
        <f t="shared" si="39"/>
        <v>18</v>
      </c>
      <c r="AZ41" s="15"/>
      <c r="BA41" s="380"/>
      <c r="BB41" s="524"/>
      <c r="BC41" s="524"/>
      <c r="BD41" s="319"/>
      <c r="BE41" s="216"/>
      <c r="BF41" s="225"/>
      <c r="BG41" s="225"/>
      <c r="BH41" s="225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</row>
    <row r="42" spans="1:154" s="22" customFormat="1" ht="12.75">
      <c r="A42" s="127">
        <v>35</v>
      </c>
      <c r="B42" s="102" t="s">
        <v>336</v>
      </c>
      <c r="C42" s="102">
        <f>'Table 8 Membership, 2.1.09'!R39</f>
        <v>6372</v>
      </c>
      <c r="D42" s="102">
        <v>4543</v>
      </c>
      <c r="E42" s="102">
        <f t="shared" si="41"/>
        <v>999</v>
      </c>
      <c r="F42" s="102">
        <v>1539.5</v>
      </c>
      <c r="G42" s="102">
        <f t="shared" si="42"/>
        <v>92</v>
      </c>
      <c r="H42" s="102">
        <v>848</v>
      </c>
      <c r="I42" s="102">
        <f t="shared" si="11"/>
        <v>1272</v>
      </c>
      <c r="J42" s="102">
        <v>229</v>
      </c>
      <c r="K42" s="20">
        <f t="shared" si="12"/>
        <v>137</v>
      </c>
      <c r="L42" s="20">
        <f t="shared" si="43"/>
        <v>1128</v>
      </c>
      <c r="M42" s="85">
        <f t="shared" si="44"/>
        <v>0.03008</v>
      </c>
      <c r="N42" s="20">
        <f t="shared" si="45"/>
        <v>192</v>
      </c>
      <c r="O42" s="20">
        <f t="shared" si="13"/>
        <v>2692</v>
      </c>
      <c r="P42" s="14">
        <f t="shared" si="46"/>
        <v>9064</v>
      </c>
      <c r="Q42" s="526">
        <f t="shared" si="14"/>
        <v>3855</v>
      </c>
      <c r="R42" s="526">
        <f t="shared" si="47"/>
        <v>34941720</v>
      </c>
      <c r="S42" s="526">
        <f>'Table 6 (Local Deduct Calc.)'!J43</f>
        <v>9453435</v>
      </c>
      <c r="T42" s="526">
        <f t="shared" si="15"/>
        <v>9453435</v>
      </c>
      <c r="U42" s="527">
        <f t="shared" si="16"/>
        <v>25488285</v>
      </c>
      <c r="V42" s="528">
        <f t="shared" si="40"/>
        <v>0.7295</v>
      </c>
      <c r="W42" s="529">
        <f t="shared" si="17"/>
        <v>0.2705</v>
      </c>
      <c r="X42" s="530">
        <f t="shared" si="18"/>
        <v>1483.5899246704332</v>
      </c>
      <c r="Y42" s="526">
        <f>'Table 7 Local Revenue'!AQ42</f>
        <v>19396733</v>
      </c>
      <c r="Z42" s="526">
        <f t="shared" si="19"/>
        <v>9943298</v>
      </c>
      <c r="AA42" s="381">
        <f t="shared" si="20"/>
        <v>0</v>
      </c>
      <c r="AB42" s="21">
        <f t="shared" si="21"/>
        <v>11880184.8</v>
      </c>
      <c r="AC42" s="21">
        <f t="shared" si="22"/>
        <v>9943298</v>
      </c>
      <c r="AD42" s="526">
        <f t="shared" si="23"/>
        <v>4626218.82748</v>
      </c>
      <c r="AE42" s="531">
        <f t="shared" si="24"/>
        <v>5317079.17252</v>
      </c>
      <c r="AF42" s="374">
        <f t="shared" si="25"/>
        <v>0.5347</v>
      </c>
      <c r="AG42" s="531">
        <f t="shared" si="26"/>
        <v>30805364.17252</v>
      </c>
      <c r="AH42" s="21">
        <f t="shared" si="27"/>
        <v>4834</v>
      </c>
      <c r="AI42" s="531">
        <f>'Table 4 Level 3'!T40</f>
        <v>2332652</v>
      </c>
      <c r="AJ42" s="21">
        <f t="shared" si="48"/>
        <v>366.0784682988073</v>
      </c>
      <c r="AK42" s="531">
        <f t="shared" si="28"/>
        <v>33138016.17252</v>
      </c>
      <c r="AL42" s="21">
        <f t="shared" si="49"/>
        <v>5200.567509811676</v>
      </c>
      <c r="AM42" s="871">
        <f>'Table 4 Level 3'!AG40</f>
        <v>4213411.52</v>
      </c>
      <c r="AN42" s="872">
        <f t="shared" si="30"/>
        <v>661.2384682988072</v>
      </c>
      <c r="AO42" s="531">
        <f t="shared" si="31"/>
        <v>35018775.69252</v>
      </c>
      <c r="AP42" s="21">
        <f t="shared" si="32"/>
        <v>5495.727509811676</v>
      </c>
      <c r="AQ42" s="374">
        <f t="shared" si="33"/>
        <v>0.6435440287877656</v>
      </c>
      <c r="AR42" s="532">
        <f t="shared" si="34"/>
        <v>38</v>
      </c>
      <c r="AS42" s="21">
        <f t="shared" si="35"/>
        <v>19396733</v>
      </c>
      <c r="AT42" s="21">
        <f t="shared" si="50"/>
        <v>3044.06</v>
      </c>
      <c r="AU42" s="532">
        <f t="shared" si="36"/>
        <v>36</v>
      </c>
      <c r="AV42" s="374">
        <f t="shared" si="37"/>
        <v>0.3564559712122344</v>
      </c>
      <c r="AW42" s="532">
        <f t="shared" si="38"/>
        <v>54415508.69252</v>
      </c>
      <c r="AX42" s="533">
        <f t="shared" si="51"/>
        <v>8539.784791669805</v>
      </c>
      <c r="AY42" s="532">
        <f t="shared" si="39"/>
        <v>43</v>
      </c>
      <c r="AZ42" s="21"/>
      <c r="BA42" s="381"/>
      <c r="BB42" s="532"/>
      <c r="BC42" s="532"/>
      <c r="BD42" s="319"/>
      <c r="BE42" s="216"/>
      <c r="BF42" s="225"/>
      <c r="BG42" s="225"/>
      <c r="BH42" s="225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</row>
    <row r="43" spans="1:154" s="5" customFormat="1" ht="12.75">
      <c r="A43" s="126">
        <v>36</v>
      </c>
      <c r="B43" s="101" t="s">
        <v>337</v>
      </c>
      <c r="C43" s="786">
        <f>'Table 8 Membership, 2.1.09'!R40</f>
        <v>33693</v>
      </c>
      <c r="D43" s="786">
        <f>7225+21655</f>
        <v>28880</v>
      </c>
      <c r="E43" s="101">
        <f t="shared" si="41"/>
        <v>6354</v>
      </c>
      <c r="F43" s="786">
        <f>3361.5+4652</f>
        <v>8013.5</v>
      </c>
      <c r="G43" s="101">
        <f t="shared" si="42"/>
        <v>481</v>
      </c>
      <c r="H43" s="786">
        <f>782+2471</f>
        <v>3253</v>
      </c>
      <c r="I43" s="101">
        <f t="shared" si="11"/>
        <v>4880</v>
      </c>
      <c r="J43" s="786">
        <f>1884+498</f>
        <v>2382</v>
      </c>
      <c r="K43" s="14">
        <f t="shared" si="12"/>
        <v>1429</v>
      </c>
      <c r="L43" s="14">
        <f t="shared" si="43"/>
        <v>0</v>
      </c>
      <c r="M43" s="84">
        <f t="shared" si="44"/>
        <v>0</v>
      </c>
      <c r="N43" s="14">
        <f t="shared" si="45"/>
        <v>0</v>
      </c>
      <c r="O43" s="14">
        <f t="shared" si="13"/>
        <v>13144</v>
      </c>
      <c r="P43" s="43">
        <f t="shared" si="46"/>
        <v>46837</v>
      </c>
      <c r="Q43" s="519">
        <f t="shared" si="14"/>
        <v>3855</v>
      </c>
      <c r="R43" s="519">
        <f t="shared" si="47"/>
        <v>180556635</v>
      </c>
      <c r="S43" s="519">
        <f>'Table 6 (Local Deduct Calc.)'!J44</f>
        <v>93040820</v>
      </c>
      <c r="T43" s="519">
        <f t="shared" si="15"/>
        <v>93040820</v>
      </c>
      <c r="U43" s="520">
        <f t="shared" si="16"/>
        <v>87515815</v>
      </c>
      <c r="V43" s="521">
        <f t="shared" si="40"/>
        <v>0.4847</v>
      </c>
      <c r="W43" s="521">
        <f t="shared" si="17"/>
        <v>0.5153</v>
      </c>
      <c r="X43" s="522">
        <f t="shared" si="18"/>
        <v>2761.4287834268243</v>
      </c>
      <c r="Y43" s="519">
        <f>'Table 7 Local Revenue'!AQ43</f>
        <v>179618607</v>
      </c>
      <c r="Z43" s="519">
        <f t="shared" si="19"/>
        <v>86577787</v>
      </c>
      <c r="AA43" s="380">
        <f t="shared" si="20"/>
        <v>0</v>
      </c>
      <c r="AB43" s="15">
        <f t="shared" si="21"/>
        <v>61389255.900000006</v>
      </c>
      <c r="AC43" s="15">
        <f t="shared" si="22"/>
        <v>61389255.900000006</v>
      </c>
      <c r="AD43" s="519">
        <f t="shared" si="23"/>
        <v>54410279.73226441</v>
      </c>
      <c r="AE43" s="523">
        <f t="shared" si="24"/>
        <v>6978976.167735599</v>
      </c>
      <c r="AF43" s="17">
        <f t="shared" si="25"/>
        <v>0.1137</v>
      </c>
      <c r="AG43" s="523">
        <f t="shared" si="26"/>
        <v>94494791.1677356</v>
      </c>
      <c r="AH43" s="15">
        <f t="shared" si="27"/>
        <v>2805</v>
      </c>
      <c r="AI43" s="523">
        <f>'Table 4 Level 3'!T41</f>
        <v>15137965</v>
      </c>
      <c r="AJ43" s="15">
        <f t="shared" si="48"/>
        <v>449.2910990413439</v>
      </c>
      <c r="AK43" s="523">
        <f t="shared" si="28"/>
        <v>109632756.1677356</v>
      </c>
      <c r="AL43" s="15">
        <f t="shared" si="49"/>
        <v>3253.87339114165</v>
      </c>
      <c r="AM43" s="869">
        <f>'Table 4 Level 3'!AG41</f>
        <v>29765587.407166563</v>
      </c>
      <c r="AN43" s="870">
        <f t="shared" si="30"/>
        <v>883.4353547373805</v>
      </c>
      <c r="AO43" s="523">
        <f>AG43+AM43</f>
        <v>124260378.57490218</v>
      </c>
      <c r="AP43" s="15">
        <f t="shared" si="32"/>
        <v>3688.0176468376867</v>
      </c>
      <c r="AQ43" s="17">
        <f t="shared" si="33"/>
        <v>0.4458723884498621</v>
      </c>
      <c r="AR43" s="524">
        <f t="shared" si="34"/>
        <v>62</v>
      </c>
      <c r="AS43" s="15">
        <f t="shared" si="35"/>
        <v>154430075.9</v>
      </c>
      <c r="AT43" s="15">
        <f t="shared" si="50"/>
        <v>4583.45</v>
      </c>
      <c r="AU43" s="524">
        <f t="shared" si="36"/>
        <v>11</v>
      </c>
      <c r="AV43" s="17">
        <f t="shared" si="37"/>
        <v>0.554127611550138</v>
      </c>
      <c r="AW43" s="524">
        <f t="shared" si="38"/>
        <v>278690454.47490215</v>
      </c>
      <c r="AX43" s="525">
        <f t="shared" si="51"/>
        <v>8271.464531947353</v>
      </c>
      <c r="AY43" s="524">
        <f t="shared" si="39"/>
        <v>51</v>
      </c>
      <c r="AZ43" s="15"/>
      <c r="BA43" s="380"/>
      <c r="BB43" s="524"/>
      <c r="BC43" s="790"/>
      <c r="BD43" s="319"/>
      <c r="BE43" s="216"/>
      <c r="BF43" s="225"/>
      <c r="BG43" s="225"/>
      <c r="BH43" s="225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</row>
    <row r="44" spans="1:154" s="5" customFormat="1" ht="12.75">
      <c r="A44" s="126">
        <v>37</v>
      </c>
      <c r="B44" s="101" t="s">
        <v>338</v>
      </c>
      <c r="C44" s="101">
        <f>'Table 8 Membership, 2.1.09'!R41</f>
        <v>18538</v>
      </c>
      <c r="D44" s="101">
        <v>9418</v>
      </c>
      <c r="E44" s="101">
        <f t="shared" si="41"/>
        <v>2072</v>
      </c>
      <c r="F44" s="101">
        <v>4426.5</v>
      </c>
      <c r="G44" s="101">
        <f t="shared" si="42"/>
        <v>266</v>
      </c>
      <c r="H44" s="101">
        <v>2522</v>
      </c>
      <c r="I44" s="101">
        <f t="shared" si="11"/>
        <v>3783</v>
      </c>
      <c r="J44" s="101">
        <v>936</v>
      </c>
      <c r="K44" s="14">
        <f t="shared" si="12"/>
        <v>562</v>
      </c>
      <c r="L44" s="14">
        <f t="shared" si="43"/>
        <v>0</v>
      </c>
      <c r="M44" s="84">
        <f t="shared" si="44"/>
        <v>0</v>
      </c>
      <c r="N44" s="14">
        <f t="shared" si="45"/>
        <v>0</v>
      </c>
      <c r="O44" s="14">
        <f t="shared" si="13"/>
        <v>6683</v>
      </c>
      <c r="P44" s="14">
        <f t="shared" si="46"/>
        <v>25221</v>
      </c>
      <c r="Q44" s="519">
        <f t="shared" si="14"/>
        <v>3855</v>
      </c>
      <c r="R44" s="519">
        <f t="shared" si="47"/>
        <v>97226955</v>
      </c>
      <c r="S44" s="519">
        <f>'Table 6 (Local Deduct Calc.)'!J45</f>
        <v>20014435</v>
      </c>
      <c r="T44" s="519">
        <f t="shared" si="15"/>
        <v>20014435</v>
      </c>
      <c r="U44" s="520">
        <f t="shared" si="16"/>
        <v>77212520</v>
      </c>
      <c r="V44" s="521">
        <f t="shared" si="40"/>
        <v>0.7941</v>
      </c>
      <c r="W44" s="521">
        <f t="shared" si="17"/>
        <v>0.2059</v>
      </c>
      <c r="X44" s="522">
        <f t="shared" si="18"/>
        <v>1079.6437048225266</v>
      </c>
      <c r="Y44" s="519">
        <f>'Table 7 Local Revenue'!AQ44</f>
        <v>54746781</v>
      </c>
      <c r="Z44" s="519">
        <f t="shared" si="19"/>
        <v>34732346</v>
      </c>
      <c r="AA44" s="380">
        <f t="shared" si="20"/>
        <v>0</v>
      </c>
      <c r="AB44" s="15">
        <f t="shared" si="21"/>
        <v>33057164.700000003</v>
      </c>
      <c r="AC44" s="15">
        <f t="shared" si="22"/>
        <v>33057164.700000003</v>
      </c>
      <c r="AD44" s="519">
        <f t="shared" si="23"/>
        <v>11707128.764175601</v>
      </c>
      <c r="AE44" s="523">
        <f t="shared" si="24"/>
        <v>21350035.9358244</v>
      </c>
      <c r="AF44" s="17">
        <f t="shared" si="25"/>
        <v>0.6459</v>
      </c>
      <c r="AG44" s="523">
        <f t="shared" si="26"/>
        <v>98562555.9358244</v>
      </c>
      <c r="AH44" s="15">
        <f t="shared" si="27"/>
        <v>5317</v>
      </c>
      <c r="AI44" s="523">
        <f>'Table 4 Level 3'!T42</f>
        <v>6354013</v>
      </c>
      <c r="AJ44" s="15">
        <f t="shared" si="48"/>
        <v>342.7561225590679</v>
      </c>
      <c r="AK44" s="523">
        <f t="shared" si="28"/>
        <v>104916568.9358244</v>
      </c>
      <c r="AL44" s="15">
        <f t="shared" si="49"/>
        <v>5659.540885522947</v>
      </c>
      <c r="AM44" s="869">
        <f>'Table 4 Level 3'!AG42</f>
        <v>14441957.02</v>
      </c>
      <c r="AN44" s="870">
        <f t="shared" si="30"/>
        <v>779.0461225590678</v>
      </c>
      <c r="AO44" s="523">
        <f t="shared" si="31"/>
        <v>113004512.95582439</v>
      </c>
      <c r="AP44" s="15">
        <f t="shared" si="32"/>
        <v>6095.830885522947</v>
      </c>
      <c r="AQ44" s="17">
        <f t="shared" si="33"/>
        <v>0.6804380903954236</v>
      </c>
      <c r="AR44" s="524">
        <f t="shared" si="34"/>
        <v>30</v>
      </c>
      <c r="AS44" s="15">
        <f t="shared" si="35"/>
        <v>53071599.7</v>
      </c>
      <c r="AT44" s="15">
        <f t="shared" si="50"/>
        <v>2862.85</v>
      </c>
      <c r="AU44" s="524">
        <f t="shared" si="36"/>
        <v>43</v>
      </c>
      <c r="AV44" s="17">
        <f t="shared" si="37"/>
        <v>0.3195619096045764</v>
      </c>
      <c r="AW44" s="524">
        <f t="shared" si="38"/>
        <v>166076112.6558244</v>
      </c>
      <c r="AX44" s="525">
        <f t="shared" si="51"/>
        <v>8958.685546219895</v>
      </c>
      <c r="AY44" s="524">
        <f t="shared" si="39"/>
        <v>24</v>
      </c>
      <c r="AZ44" s="15"/>
      <c r="BA44" s="380"/>
      <c r="BB44" s="524"/>
      <c r="BC44" s="524"/>
      <c r="BD44" s="319"/>
      <c r="BE44" s="216"/>
      <c r="BF44" s="225"/>
      <c r="BG44" s="225"/>
      <c r="BH44" s="225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</row>
    <row r="45" spans="1:154" s="5" customFormat="1" ht="12.75">
      <c r="A45" s="126">
        <v>38</v>
      </c>
      <c r="B45" s="101" t="s">
        <v>339</v>
      </c>
      <c r="C45" s="101">
        <f>'Table 8 Membership, 2.1.09'!R42</f>
        <v>3433</v>
      </c>
      <c r="D45" s="101">
        <v>2276</v>
      </c>
      <c r="E45" s="101">
        <f t="shared" si="41"/>
        <v>501</v>
      </c>
      <c r="F45" s="101">
        <v>826.5</v>
      </c>
      <c r="G45" s="101">
        <f t="shared" si="42"/>
        <v>50</v>
      </c>
      <c r="H45" s="101">
        <v>415</v>
      </c>
      <c r="I45" s="101">
        <f t="shared" si="11"/>
        <v>623</v>
      </c>
      <c r="J45" s="101">
        <v>112</v>
      </c>
      <c r="K45" s="14">
        <f t="shared" si="12"/>
        <v>67</v>
      </c>
      <c r="L45" s="14">
        <f t="shared" si="43"/>
        <v>4067</v>
      </c>
      <c r="M45" s="84">
        <f t="shared" si="44"/>
        <v>0.10845</v>
      </c>
      <c r="N45" s="14">
        <f t="shared" si="45"/>
        <v>372</v>
      </c>
      <c r="O45" s="14">
        <f t="shared" si="13"/>
        <v>1613</v>
      </c>
      <c r="P45" s="14">
        <f t="shared" si="46"/>
        <v>5046</v>
      </c>
      <c r="Q45" s="519">
        <f t="shared" si="14"/>
        <v>3855</v>
      </c>
      <c r="R45" s="519">
        <f t="shared" si="47"/>
        <v>19452330</v>
      </c>
      <c r="S45" s="519">
        <f>'Table 6 (Local Deduct Calc.)'!J46</f>
        <v>19239222</v>
      </c>
      <c r="T45" s="519">
        <f t="shared" si="15"/>
        <v>14589247.5</v>
      </c>
      <c r="U45" s="520">
        <f t="shared" si="16"/>
        <v>4863082.5</v>
      </c>
      <c r="V45" s="521">
        <f t="shared" si="40"/>
        <v>0.25</v>
      </c>
      <c r="W45" s="521">
        <f t="shared" si="17"/>
        <v>0.75</v>
      </c>
      <c r="X45" s="522">
        <f t="shared" si="18"/>
        <v>4249.707981357414</v>
      </c>
      <c r="Y45" s="519">
        <f>'Table 7 Local Revenue'!AQ45</f>
        <v>31640011</v>
      </c>
      <c r="Z45" s="519">
        <f t="shared" si="19"/>
        <v>17050763.5</v>
      </c>
      <c r="AA45" s="380">
        <f t="shared" si="20"/>
        <v>0</v>
      </c>
      <c r="AB45" s="15">
        <f t="shared" si="21"/>
        <v>6613792.2</v>
      </c>
      <c r="AC45" s="15">
        <f t="shared" si="22"/>
        <v>6613792.2</v>
      </c>
      <c r="AD45" s="519">
        <f t="shared" si="23"/>
        <v>8531791.938000001</v>
      </c>
      <c r="AE45" s="523">
        <f t="shared" si="24"/>
        <v>0</v>
      </c>
      <c r="AF45" s="17">
        <f t="shared" si="25"/>
        <v>0</v>
      </c>
      <c r="AG45" s="523">
        <f t="shared" si="26"/>
        <v>4863082.5</v>
      </c>
      <c r="AH45" s="15">
        <f t="shared" si="27"/>
        <v>1417</v>
      </c>
      <c r="AI45" s="523">
        <f>'Table 4 Level 3'!T43</f>
        <v>5616804</v>
      </c>
      <c r="AJ45" s="15">
        <f t="shared" si="48"/>
        <v>1636.1211768132828</v>
      </c>
      <c r="AK45" s="523">
        <f t="shared" si="28"/>
        <v>10479886.5</v>
      </c>
      <c r="AL45" s="15">
        <f t="shared" si="49"/>
        <v>3052.6905039324206</v>
      </c>
      <c r="AM45" s="869">
        <f>'Table 4 Level 3'!AG43</f>
        <v>7361214.29</v>
      </c>
      <c r="AN45" s="870">
        <f t="shared" si="30"/>
        <v>2144.2511768132827</v>
      </c>
      <c r="AO45" s="523">
        <f t="shared" si="31"/>
        <v>12224296.79</v>
      </c>
      <c r="AP45" s="15">
        <f t="shared" si="32"/>
        <v>3560.8205039324203</v>
      </c>
      <c r="AQ45" s="17">
        <f t="shared" si="33"/>
        <v>0.3656976018312729</v>
      </c>
      <c r="AR45" s="524">
        <f t="shared" si="34"/>
        <v>69</v>
      </c>
      <c r="AS45" s="15">
        <f t="shared" si="35"/>
        <v>21203039.7</v>
      </c>
      <c r="AT45" s="15">
        <f t="shared" si="50"/>
        <v>6176.24</v>
      </c>
      <c r="AU45" s="524">
        <f t="shared" si="36"/>
        <v>1</v>
      </c>
      <c r="AV45" s="17">
        <f t="shared" si="37"/>
        <v>0.6343023981687271</v>
      </c>
      <c r="AW45" s="524">
        <f t="shared" si="38"/>
        <v>33427336.49</v>
      </c>
      <c r="AX45" s="525">
        <f t="shared" si="51"/>
        <v>9737.06277017186</v>
      </c>
      <c r="AY45" s="524">
        <f t="shared" si="39"/>
        <v>7</v>
      </c>
      <c r="AZ45" s="15"/>
      <c r="BA45" s="380"/>
      <c r="BB45" s="524"/>
      <c r="BC45" s="524"/>
      <c r="BD45" s="319"/>
      <c r="BE45" s="216"/>
      <c r="BF45" s="225"/>
      <c r="BG45" s="225"/>
      <c r="BH45" s="22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</row>
    <row r="46" spans="1:154" s="5" customFormat="1" ht="12.75">
      <c r="A46" s="126">
        <v>39</v>
      </c>
      <c r="B46" s="101" t="s">
        <v>340</v>
      </c>
      <c r="C46" s="786">
        <f>'Table 8 Membership, 2.1.09'!R43</f>
        <v>2867</v>
      </c>
      <c r="D46" s="786">
        <f>1831+289</f>
        <v>2120</v>
      </c>
      <c r="E46" s="101">
        <f t="shared" si="41"/>
        <v>466</v>
      </c>
      <c r="F46" s="786">
        <f>840.5+238</f>
        <v>1078.5</v>
      </c>
      <c r="G46" s="101">
        <f t="shared" si="42"/>
        <v>65</v>
      </c>
      <c r="H46" s="786">
        <f>469+75</f>
        <v>544</v>
      </c>
      <c r="I46" s="101">
        <f t="shared" si="11"/>
        <v>816</v>
      </c>
      <c r="J46" s="786">
        <v>28</v>
      </c>
      <c r="K46" s="14">
        <f t="shared" si="12"/>
        <v>17</v>
      </c>
      <c r="L46" s="14">
        <f t="shared" si="43"/>
        <v>4633</v>
      </c>
      <c r="M46" s="84">
        <f t="shared" si="44"/>
        <v>0.12355</v>
      </c>
      <c r="N46" s="14">
        <f t="shared" si="45"/>
        <v>354</v>
      </c>
      <c r="O46" s="14">
        <f t="shared" si="13"/>
        <v>1718</v>
      </c>
      <c r="P46" s="14">
        <f t="shared" si="46"/>
        <v>4585</v>
      </c>
      <c r="Q46" s="519">
        <f t="shared" si="14"/>
        <v>3855</v>
      </c>
      <c r="R46" s="519">
        <f t="shared" si="47"/>
        <v>17675175</v>
      </c>
      <c r="S46" s="519">
        <f>'Table 6 (Local Deduct Calc.)'!J47</f>
        <v>8595204</v>
      </c>
      <c r="T46" s="519">
        <f t="shared" si="15"/>
        <v>8595204</v>
      </c>
      <c r="U46" s="520">
        <f t="shared" si="16"/>
        <v>9079971</v>
      </c>
      <c r="V46" s="521">
        <f t="shared" si="40"/>
        <v>0.5137</v>
      </c>
      <c r="W46" s="521">
        <f t="shared" si="17"/>
        <v>0.4863</v>
      </c>
      <c r="X46" s="522">
        <f t="shared" si="18"/>
        <v>2997.9783746076037</v>
      </c>
      <c r="Y46" s="519">
        <f>'Table 7 Local Revenue'!AQ46</f>
        <v>12515407</v>
      </c>
      <c r="Z46" s="519">
        <f t="shared" si="19"/>
        <v>3920203</v>
      </c>
      <c r="AA46" s="380">
        <f t="shared" si="20"/>
        <v>0</v>
      </c>
      <c r="AB46" s="15">
        <f t="shared" si="21"/>
        <v>6009559.5</v>
      </c>
      <c r="AC46" s="15">
        <f t="shared" si="22"/>
        <v>3920203</v>
      </c>
      <c r="AD46" s="519">
        <f t="shared" si="23"/>
        <v>3278998.916508</v>
      </c>
      <c r="AE46" s="523">
        <f t="shared" si="24"/>
        <v>641204.0834920001</v>
      </c>
      <c r="AF46" s="17">
        <f t="shared" si="25"/>
        <v>0.1636</v>
      </c>
      <c r="AG46" s="523">
        <f t="shared" si="26"/>
        <v>9721175.083492</v>
      </c>
      <c r="AH46" s="15">
        <f t="shared" si="27"/>
        <v>3391</v>
      </c>
      <c r="AI46" s="523">
        <f>'Table 4 Level 3'!T44</f>
        <v>1691313</v>
      </c>
      <c r="AJ46" s="15">
        <f t="shared" si="48"/>
        <v>589.9243111266131</v>
      </c>
      <c r="AK46" s="523">
        <f t="shared" si="28"/>
        <v>11412488.083492</v>
      </c>
      <c r="AL46" s="15">
        <f t="shared" si="49"/>
        <v>3980.6376294007673</v>
      </c>
      <c r="AM46" s="869">
        <f>'Table 4 Level 3'!AG44</f>
        <v>2909341.0941425404</v>
      </c>
      <c r="AN46" s="870">
        <f t="shared" si="30"/>
        <v>1014.7684318599722</v>
      </c>
      <c r="AO46" s="523">
        <f t="shared" si="31"/>
        <v>12630516.177634541</v>
      </c>
      <c r="AP46" s="15">
        <f t="shared" si="32"/>
        <v>4405.481750134127</v>
      </c>
      <c r="AQ46" s="17">
        <f t="shared" si="33"/>
        <v>0.5022888238546939</v>
      </c>
      <c r="AR46" s="524">
        <f t="shared" si="34"/>
        <v>58</v>
      </c>
      <c r="AS46" s="15">
        <f t="shared" si="35"/>
        <v>12515407</v>
      </c>
      <c r="AT46" s="15">
        <f t="shared" si="50"/>
        <v>4365.33</v>
      </c>
      <c r="AU46" s="524">
        <f t="shared" si="36"/>
        <v>12</v>
      </c>
      <c r="AV46" s="17">
        <f t="shared" si="37"/>
        <v>0.4977111761453061</v>
      </c>
      <c r="AW46" s="524">
        <f t="shared" si="38"/>
        <v>25145923.17763454</v>
      </c>
      <c r="AX46" s="525">
        <f t="shared" si="51"/>
        <v>8770.813804546404</v>
      </c>
      <c r="AY46" s="524">
        <f t="shared" si="39"/>
        <v>29</v>
      </c>
      <c r="AZ46" s="15"/>
      <c r="BA46" s="380"/>
      <c r="BB46" s="524"/>
      <c r="BC46" s="790"/>
      <c r="BD46" s="319"/>
      <c r="BE46" s="216"/>
      <c r="BF46" s="225"/>
      <c r="BG46" s="225"/>
      <c r="BH46" s="225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</row>
    <row r="47" spans="1:154" s="22" customFormat="1" ht="12.75">
      <c r="A47" s="127">
        <v>40</v>
      </c>
      <c r="B47" s="102" t="s">
        <v>341</v>
      </c>
      <c r="C47" s="102">
        <f>'Table 8 Membership, 2.1.09'!R44</f>
        <v>22600</v>
      </c>
      <c r="D47" s="102">
        <v>15338</v>
      </c>
      <c r="E47" s="102">
        <f t="shared" si="41"/>
        <v>3374</v>
      </c>
      <c r="F47" s="102">
        <v>5009.5</v>
      </c>
      <c r="G47" s="102">
        <f t="shared" si="42"/>
        <v>301</v>
      </c>
      <c r="H47" s="102">
        <v>2989</v>
      </c>
      <c r="I47" s="102">
        <f t="shared" si="11"/>
        <v>4484</v>
      </c>
      <c r="J47" s="102">
        <v>499</v>
      </c>
      <c r="K47" s="20">
        <f t="shared" si="12"/>
        <v>299</v>
      </c>
      <c r="L47" s="20">
        <f t="shared" si="43"/>
        <v>0</v>
      </c>
      <c r="M47" s="85">
        <f t="shared" si="44"/>
        <v>0</v>
      </c>
      <c r="N47" s="20">
        <f t="shared" si="45"/>
        <v>0</v>
      </c>
      <c r="O47" s="20">
        <f t="shared" si="13"/>
        <v>8458</v>
      </c>
      <c r="P47" s="14">
        <f t="shared" si="46"/>
        <v>31058</v>
      </c>
      <c r="Q47" s="526">
        <f t="shared" si="14"/>
        <v>3855</v>
      </c>
      <c r="R47" s="526">
        <f t="shared" si="47"/>
        <v>119728590</v>
      </c>
      <c r="S47" s="526">
        <f>'Table 6 (Local Deduct Calc.)'!J48</f>
        <v>33744402</v>
      </c>
      <c r="T47" s="526">
        <f t="shared" si="15"/>
        <v>33744402</v>
      </c>
      <c r="U47" s="527">
        <f t="shared" si="16"/>
        <v>85984188</v>
      </c>
      <c r="V47" s="528">
        <f t="shared" si="40"/>
        <v>0.7182</v>
      </c>
      <c r="W47" s="529">
        <f t="shared" si="17"/>
        <v>0.2818</v>
      </c>
      <c r="X47" s="530">
        <f t="shared" si="18"/>
        <v>1493.115132743363</v>
      </c>
      <c r="Y47" s="526">
        <f>'Table 7 Local Revenue'!AQ47</f>
        <v>65067829</v>
      </c>
      <c r="Z47" s="526">
        <f t="shared" si="19"/>
        <v>31323427</v>
      </c>
      <c r="AA47" s="381">
        <f t="shared" si="20"/>
        <v>0</v>
      </c>
      <c r="AB47" s="21">
        <f t="shared" si="21"/>
        <v>40707720.6</v>
      </c>
      <c r="AC47" s="21">
        <f t="shared" si="22"/>
        <v>31323427</v>
      </c>
      <c r="AD47" s="526">
        <f t="shared" si="23"/>
        <v>15182339.773192</v>
      </c>
      <c r="AE47" s="531">
        <f t="shared" si="24"/>
        <v>16141087.226808</v>
      </c>
      <c r="AF47" s="374">
        <f t="shared" si="25"/>
        <v>0.5153</v>
      </c>
      <c r="AG47" s="531">
        <f t="shared" si="26"/>
        <v>102125275.226808</v>
      </c>
      <c r="AH47" s="21">
        <f t="shared" si="27"/>
        <v>4519</v>
      </c>
      <c r="AI47" s="531">
        <f>'Table 4 Level 3'!T45</f>
        <v>11372962</v>
      </c>
      <c r="AJ47" s="21">
        <f t="shared" si="48"/>
        <v>503.228407079646</v>
      </c>
      <c r="AK47" s="531">
        <f t="shared" si="28"/>
        <v>113498237.226808</v>
      </c>
      <c r="AL47" s="21">
        <f t="shared" si="49"/>
        <v>5022.045894991505</v>
      </c>
      <c r="AM47" s="871">
        <f>'Table 4 Level 3'!AG45</f>
        <v>18612194</v>
      </c>
      <c r="AN47" s="872">
        <f t="shared" si="30"/>
        <v>823.548407079646</v>
      </c>
      <c r="AO47" s="531">
        <f t="shared" si="31"/>
        <v>120737469.226808</v>
      </c>
      <c r="AP47" s="21">
        <f t="shared" si="32"/>
        <v>5342.365894991504</v>
      </c>
      <c r="AQ47" s="374">
        <f t="shared" si="33"/>
        <v>0.6498063853885733</v>
      </c>
      <c r="AR47" s="532">
        <f t="shared" si="34"/>
        <v>37</v>
      </c>
      <c r="AS47" s="21">
        <f t="shared" si="35"/>
        <v>65067829</v>
      </c>
      <c r="AT47" s="21">
        <f t="shared" si="50"/>
        <v>2879.11</v>
      </c>
      <c r="AU47" s="532">
        <f t="shared" si="36"/>
        <v>42</v>
      </c>
      <c r="AV47" s="374">
        <f t="shared" si="37"/>
        <v>0.3501936146114267</v>
      </c>
      <c r="AW47" s="532">
        <f t="shared" si="38"/>
        <v>185805298.226808</v>
      </c>
      <c r="AX47" s="533">
        <f t="shared" si="51"/>
        <v>8221.473372867611</v>
      </c>
      <c r="AY47" s="532">
        <f t="shared" si="39"/>
        <v>53</v>
      </c>
      <c r="AZ47" s="21"/>
      <c r="BA47" s="381"/>
      <c r="BB47" s="532"/>
      <c r="BC47" s="532"/>
      <c r="BD47" s="319"/>
      <c r="BE47" s="216"/>
      <c r="BF47" s="225"/>
      <c r="BG47" s="225"/>
      <c r="BH47" s="225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</row>
    <row r="48" spans="1:154" s="5" customFormat="1" ht="12.75">
      <c r="A48" s="126">
        <v>41</v>
      </c>
      <c r="B48" s="101" t="s">
        <v>342</v>
      </c>
      <c r="C48" s="101">
        <f>'Table 8 Membership, 2.1.09'!R45</f>
        <v>1375</v>
      </c>
      <c r="D48" s="101">
        <v>1173</v>
      </c>
      <c r="E48" s="101">
        <f t="shared" si="41"/>
        <v>258</v>
      </c>
      <c r="F48" s="101">
        <v>450</v>
      </c>
      <c r="G48" s="101">
        <f t="shared" si="42"/>
        <v>27</v>
      </c>
      <c r="H48" s="101">
        <v>164</v>
      </c>
      <c r="I48" s="101">
        <f t="shared" si="11"/>
        <v>246</v>
      </c>
      <c r="J48" s="101">
        <v>4</v>
      </c>
      <c r="K48" s="14">
        <f t="shared" si="12"/>
        <v>2</v>
      </c>
      <c r="L48" s="14">
        <f t="shared" si="43"/>
        <v>6125</v>
      </c>
      <c r="M48" s="84">
        <f t="shared" si="44"/>
        <v>0.16333</v>
      </c>
      <c r="N48" s="14">
        <f t="shared" si="45"/>
        <v>225</v>
      </c>
      <c r="O48" s="14">
        <f t="shared" si="13"/>
        <v>758</v>
      </c>
      <c r="P48" s="43">
        <f t="shared" si="46"/>
        <v>2133</v>
      </c>
      <c r="Q48" s="519">
        <f t="shared" si="14"/>
        <v>3855</v>
      </c>
      <c r="R48" s="519">
        <f t="shared" si="47"/>
        <v>8222715</v>
      </c>
      <c r="S48" s="519">
        <f>'Table 6 (Local Deduct Calc.)'!J49</f>
        <v>1611786</v>
      </c>
      <c r="T48" s="519">
        <f t="shared" si="15"/>
        <v>1611786</v>
      </c>
      <c r="U48" s="520">
        <f t="shared" si="16"/>
        <v>6610929</v>
      </c>
      <c r="V48" s="521">
        <f t="shared" si="40"/>
        <v>0.804</v>
      </c>
      <c r="W48" s="521">
        <f t="shared" si="17"/>
        <v>0.196</v>
      </c>
      <c r="X48" s="522">
        <f t="shared" si="18"/>
        <v>1172.208</v>
      </c>
      <c r="Y48" s="519">
        <f>'Table 7 Local Revenue'!AQ48</f>
        <v>4966421</v>
      </c>
      <c r="Z48" s="519">
        <f t="shared" si="19"/>
        <v>3354635</v>
      </c>
      <c r="AA48" s="380">
        <f t="shared" si="20"/>
        <v>0</v>
      </c>
      <c r="AB48" s="15">
        <f t="shared" si="21"/>
        <v>2795723.1</v>
      </c>
      <c r="AC48" s="15">
        <f t="shared" si="22"/>
        <v>2795723.1</v>
      </c>
      <c r="AD48" s="519">
        <f t="shared" si="23"/>
        <v>942494.1714720001</v>
      </c>
      <c r="AE48" s="523">
        <f t="shared" si="24"/>
        <v>1853228.9285280001</v>
      </c>
      <c r="AF48" s="17">
        <f t="shared" si="25"/>
        <v>0.6629</v>
      </c>
      <c r="AG48" s="523">
        <f t="shared" si="26"/>
        <v>8464157.928528</v>
      </c>
      <c r="AH48" s="15">
        <f t="shared" si="27"/>
        <v>6156</v>
      </c>
      <c r="AI48" s="523">
        <f>'Table 4 Level 3'!T46</f>
        <v>794652</v>
      </c>
      <c r="AJ48" s="15">
        <f t="shared" si="48"/>
        <v>577.9287272727273</v>
      </c>
      <c r="AK48" s="523">
        <f t="shared" si="28"/>
        <v>9258809.928528</v>
      </c>
      <c r="AL48" s="15">
        <f t="shared" si="49"/>
        <v>6733.679948020364</v>
      </c>
      <c r="AM48" s="869">
        <f>'Table 4 Level 3'!AG46</f>
        <v>1388060.75</v>
      </c>
      <c r="AN48" s="870">
        <f t="shared" si="30"/>
        <v>1009.4987272727273</v>
      </c>
      <c r="AO48" s="523">
        <f t="shared" si="31"/>
        <v>9852218.678528</v>
      </c>
      <c r="AP48" s="15">
        <f t="shared" si="32"/>
        <v>7165.249948020363</v>
      </c>
      <c r="AQ48" s="17">
        <f t="shared" si="33"/>
        <v>0.6909121149818347</v>
      </c>
      <c r="AR48" s="524">
        <f t="shared" si="34"/>
        <v>28</v>
      </c>
      <c r="AS48" s="15">
        <f t="shared" si="35"/>
        <v>4407509.1</v>
      </c>
      <c r="AT48" s="15">
        <f t="shared" si="50"/>
        <v>3205.46</v>
      </c>
      <c r="AU48" s="524">
        <f t="shared" si="36"/>
        <v>31</v>
      </c>
      <c r="AV48" s="17">
        <f t="shared" si="37"/>
        <v>0.30908788501816525</v>
      </c>
      <c r="AW48" s="524">
        <f t="shared" si="38"/>
        <v>14259727.778528</v>
      </c>
      <c r="AX48" s="525">
        <f t="shared" si="51"/>
        <v>10370.711111656727</v>
      </c>
      <c r="AY48" s="524">
        <f t="shared" si="39"/>
        <v>2</v>
      </c>
      <c r="AZ48" s="15"/>
      <c r="BA48" s="380"/>
      <c r="BB48" s="524"/>
      <c r="BC48" s="524"/>
      <c r="BD48" s="319"/>
      <c r="BE48" s="216"/>
      <c r="BF48" s="225"/>
      <c r="BG48" s="225"/>
      <c r="BH48" s="225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</row>
    <row r="49" spans="1:154" s="5" customFormat="1" ht="12.75">
      <c r="A49" s="126">
        <v>42</v>
      </c>
      <c r="B49" s="101" t="s">
        <v>343</v>
      </c>
      <c r="C49" s="101">
        <f>'Table 8 Membership, 2.1.09'!R46</f>
        <v>3292</v>
      </c>
      <c r="D49" s="101">
        <v>2542</v>
      </c>
      <c r="E49" s="101">
        <f t="shared" si="41"/>
        <v>559</v>
      </c>
      <c r="F49" s="101">
        <v>869</v>
      </c>
      <c r="G49" s="101">
        <f t="shared" si="42"/>
        <v>52</v>
      </c>
      <c r="H49" s="101">
        <v>412</v>
      </c>
      <c r="I49" s="101">
        <f t="shared" si="11"/>
        <v>618</v>
      </c>
      <c r="J49" s="101">
        <v>39</v>
      </c>
      <c r="K49" s="14">
        <f t="shared" si="12"/>
        <v>23</v>
      </c>
      <c r="L49" s="14">
        <f t="shared" si="43"/>
        <v>4208</v>
      </c>
      <c r="M49" s="84">
        <f t="shared" si="44"/>
        <v>0.11221</v>
      </c>
      <c r="N49" s="14">
        <f t="shared" si="45"/>
        <v>369</v>
      </c>
      <c r="O49" s="14">
        <f t="shared" si="13"/>
        <v>1621</v>
      </c>
      <c r="P49" s="14">
        <f t="shared" si="46"/>
        <v>4913</v>
      </c>
      <c r="Q49" s="519">
        <f t="shared" si="14"/>
        <v>3855</v>
      </c>
      <c r="R49" s="519">
        <f t="shared" si="47"/>
        <v>18939615</v>
      </c>
      <c r="S49" s="519">
        <f>'Table 6 (Local Deduct Calc.)'!J50</f>
        <v>3979570</v>
      </c>
      <c r="T49" s="519">
        <f t="shared" si="15"/>
        <v>3979570</v>
      </c>
      <c r="U49" s="520">
        <f t="shared" si="16"/>
        <v>14960045</v>
      </c>
      <c r="V49" s="521">
        <f t="shared" si="40"/>
        <v>0.7899</v>
      </c>
      <c r="W49" s="521">
        <f t="shared" si="17"/>
        <v>0.2101</v>
      </c>
      <c r="X49" s="522">
        <f t="shared" si="18"/>
        <v>1208.8608748481167</v>
      </c>
      <c r="Y49" s="519">
        <f>'Table 7 Local Revenue'!AQ49</f>
        <v>8434242</v>
      </c>
      <c r="Z49" s="519">
        <f t="shared" si="19"/>
        <v>4454672</v>
      </c>
      <c r="AA49" s="380">
        <f t="shared" si="20"/>
        <v>0</v>
      </c>
      <c r="AB49" s="15">
        <f t="shared" si="21"/>
        <v>6439469.100000001</v>
      </c>
      <c r="AC49" s="15">
        <f t="shared" si="22"/>
        <v>4454672</v>
      </c>
      <c r="AD49" s="519">
        <f t="shared" si="23"/>
        <v>1609793.729984</v>
      </c>
      <c r="AE49" s="523">
        <f t="shared" si="24"/>
        <v>2844878.2700159997</v>
      </c>
      <c r="AF49" s="17">
        <f t="shared" si="25"/>
        <v>0.6386</v>
      </c>
      <c r="AG49" s="523">
        <f t="shared" si="26"/>
        <v>17804923.270016</v>
      </c>
      <c r="AH49" s="15">
        <f t="shared" si="27"/>
        <v>5409</v>
      </c>
      <c r="AI49" s="523">
        <f>'Table 4 Level 3'!T47</f>
        <v>1219852</v>
      </c>
      <c r="AJ49" s="15">
        <f t="shared" si="48"/>
        <v>370.55042527339003</v>
      </c>
      <c r="AK49" s="523">
        <f t="shared" si="28"/>
        <v>19024775.270016</v>
      </c>
      <c r="AL49" s="15">
        <f t="shared" si="49"/>
        <v>5779.093338400972</v>
      </c>
      <c r="AM49" s="869">
        <f>'Table 4 Level 3'!AG47</f>
        <v>2284682.32</v>
      </c>
      <c r="AN49" s="870">
        <f t="shared" si="30"/>
        <v>694.01042527339</v>
      </c>
      <c r="AO49" s="523">
        <f t="shared" si="31"/>
        <v>20089605.590016</v>
      </c>
      <c r="AP49" s="15">
        <f t="shared" si="32"/>
        <v>6102.553338400972</v>
      </c>
      <c r="AQ49" s="17">
        <f t="shared" si="33"/>
        <v>0.7043091057970672</v>
      </c>
      <c r="AR49" s="524">
        <f t="shared" si="34"/>
        <v>25</v>
      </c>
      <c r="AS49" s="15">
        <f t="shared" si="35"/>
        <v>8434242</v>
      </c>
      <c r="AT49" s="15">
        <f t="shared" si="50"/>
        <v>2562.04</v>
      </c>
      <c r="AU49" s="524">
        <f t="shared" si="36"/>
        <v>48</v>
      </c>
      <c r="AV49" s="17">
        <f t="shared" si="37"/>
        <v>0.29569089420293276</v>
      </c>
      <c r="AW49" s="524">
        <f t="shared" si="38"/>
        <v>28523847.590016</v>
      </c>
      <c r="AX49" s="525">
        <f t="shared" si="51"/>
        <v>8664.595258206562</v>
      </c>
      <c r="AY49" s="524">
        <f t="shared" si="39"/>
        <v>37</v>
      </c>
      <c r="AZ49" s="15"/>
      <c r="BA49" s="380"/>
      <c r="BB49" s="524"/>
      <c r="BC49" s="524"/>
      <c r="BD49" s="319"/>
      <c r="BE49" s="216"/>
      <c r="BF49" s="225"/>
      <c r="BG49" s="225"/>
      <c r="BH49" s="225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</row>
    <row r="50" spans="1:154" s="5" customFormat="1" ht="12.75">
      <c r="A50" s="126">
        <v>43</v>
      </c>
      <c r="B50" s="101" t="s">
        <v>344</v>
      </c>
      <c r="C50" s="101">
        <f>'Table 8 Membership, 2.1.09'!R47</f>
        <v>3913</v>
      </c>
      <c r="D50" s="101">
        <v>2566</v>
      </c>
      <c r="E50" s="101">
        <f t="shared" si="41"/>
        <v>565</v>
      </c>
      <c r="F50" s="101">
        <v>1280</v>
      </c>
      <c r="G50" s="101">
        <f t="shared" si="42"/>
        <v>77</v>
      </c>
      <c r="H50" s="101">
        <v>535</v>
      </c>
      <c r="I50" s="101">
        <f t="shared" si="11"/>
        <v>803</v>
      </c>
      <c r="J50" s="101">
        <v>82</v>
      </c>
      <c r="K50" s="14">
        <f t="shared" si="12"/>
        <v>49</v>
      </c>
      <c r="L50" s="14">
        <f t="shared" si="43"/>
        <v>3587</v>
      </c>
      <c r="M50" s="84">
        <f t="shared" si="44"/>
        <v>0.09565</v>
      </c>
      <c r="N50" s="14">
        <f t="shared" si="45"/>
        <v>374</v>
      </c>
      <c r="O50" s="14">
        <f t="shared" si="13"/>
        <v>1868</v>
      </c>
      <c r="P50" s="14">
        <f t="shared" si="46"/>
        <v>5781</v>
      </c>
      <c r="Q50" s="519">
        <f t="shared" si="14"/>
        <v>3855</v>
      </c>
      <c r="R50" s="519">
        <f t="shared" si="47"/>
        <v>22285755</v>
      </c>
      <c r="S50" s="519">
        <f>'Table 6 (Local Deduct Calc.)'!J51</f>
        <v>4103772</v>
      </c>
      <c r="T50" s="519">
        <f t="shared" si="15"/>
        <v>4103772</v>
      </c>
      <c r="U50" s="520">
        <f t="shared" si="16"/>
        <v>18181983</v>
      </c>
      <c r="V50" s="521">
        <f t="shared" si="40"/>
        <v>0.8159</v>
      </c>
      <c r="W50" s="521">
        <f t="shared" si="17"/>
        <v>0.1841</v>
      </c>
      <c r="X50" s="522">
        <f t="shared" si="18"/>
        <v>1048.753386148735</v>
      </c>
      <c r="Y50" s="519">
        <f>'Table 7 Local Revenue'!AQ50</f>
        <v>10255761</v>
      </c>
      <c r="Z50" s="519">
        <f t="shared" si="19"/>
        <v>6151989</v>
      </c>
      <c r="AA50" s="380">
        <f t="shared" si="20"/>
        <v>0</v>
      </c>
      <c r="AB50" s="15">
        <f t="shared" si="21"/>
        <v>7577156.7</v>
      </c>
      <c r="AC50" s="15">
        <f t="shared" si="22"/>
        <v>6151989</v>
      </c>
      <c r="AD50" s="519">
        <f t="shared" si="23"/>
        <v>1948039.6208280004</v>
      </c>
      <c r="AE50" s="523">
        <f t="shared" si="24"/>
        <v>4203949.379171999</v>
      </c>
      <c r="AF50" s="17">
        <f t="shared" si="25"/>
        <v>0.6833</v>
      </c>
      <c r="AG50" s="523">
        <f t="shared" si="26"/>
        <v>22385932.379171997</v>
      </c>
      <c r="AH50" s="15">
        <f t="shared" si="27"/>
        <v>5721</v>
      </c>
      <c r="AI50" s="523">
        <f>'Table 4 Level 3'!T48</f>
        <v>1374474</v>
      </c>
      <c r="AJ50" s="15">
        <f t="shared" si="48"/>
        <v>351.2583695374393</v>
      </c>
      <c r="AK50" s="523">
        <f t="shared" si="28"/>
        <v>23760406.379171997</v>
      </c>
      <c r="AL50" s="15">
        <f t="shared" si="49"/>
        <v>6072.171321025299</v>
      </c>
      <c r="AM50" s="869">
        <f>'Table 4 Level 3'!AG48</f>
        <v>2730837.19</v>
      </c>
      <c r="AN50" s="870">
        <f t="shared" si="30"/>
        <v>697.8883695374393</v>
      </c>
      <c r="AO50" s="523">
        <f t="shared" si="31"/>
        <v>25116769.569172</v>
      </c>
      <c r="AP50" s="15">
        <f t="shared" si="32"/>
        <v>6418.8013210253</v>
      </c>
      <c r="AQ50" s="17">
        <f t="shared" si="33"/>
        <v>0.7100642550878693</v>
      </c>
      <c r="AR50" s="524">
        <f t="shared" si="34"/>
        <v>22</v>
      </c>
      <c r="AS50" s="15">
        <f t="shared" si="35"/>
        <v>10255761</v>
      </c>
      <c r="AT50" s="15">
        <f t="shared" si="50"/>
        <v>2620.95</v>
      </c>
      <c r="AU50" s="524">
        <f t="shared" si="36"/>
        <v>47</v>
      </c>
      <c r="AV50" s="17">
        <f t="shared" si="37"/>
        <v>0.2899357449121308</v>
      </c>
      <c r="AW50" s="524">
        <f t="shared" si="38"/>
        <v>35372530.569171995</v>
      </c>
      <c r="AX50" s="525">
        <f t="shared" si="51"/>
        <v>9039.74714264554</v>
      </c>
      <c r="AY50" s="524">
        <f t="shared" si="39"/>
        <v>19</v>
      </c>
      <c r="AZ50" s="15"/>
      <c r="BA50" s="380"/>
      <c r="BB50" s="524"/>
      <c r="BC50" s="524"/>
      <c r="BD50" s="319"/>
      <c r="BE50" s="216"/>
      <c r="BF50" s="225"/>
      <c r="BG50" s="225"/>
      <c r="BH50" s="225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</row>
    <row r="51" spans="1:154" s="5" customFormat="1" ht="12.75">
      <c r="A51" s="126">
        <v>44</v>
      </c>
      <c r="B51" s="101" t="s">
        <v>345</v>
      </c>
      <c r="C51" s="101">
        <f>'Table 8 Membership, 2.1.09'!R48</f>
        <v>4359</v>
      </c>
      <c r="D51" s="101">
        <v>3031</v>
      </c>
      <c r="E51" s="101">
        <f t="shared" si="41"/>
        <v>667</v>
      </c>
      <c r="F51" s="101">
        <v>877.5</v>
      </c>
      <c r="G51" s="101">
        <f t="shared" si="42"/>
        <v>53</v>
      </c>
      <c r="H51" s="101">
        <v>491</v>
      </c>
      <c r="I51" s="101">
        <f t="shared" si="11"/>
        <v>737</v>
      </c>
      <c r="J51" s="101">
        <v>97</v>
      </c>
      <c r="K51" s="14">
        <f t="shared" si="12"/>
        <v>58</v>
      </c>
      <c r="L51" s="14">
        <f t="shared" si="43"/>
        <v>3141</v>
      </c>
      <c r="M51" s="84">
        <f t="shared" si="44"/>
        <v>0.08376</v>
      </c>
      <c r="N51" s="14">
        <f t="shared" si="45"/>
        <v>365</v>
      </c>
      <c r="O51" s="14">
        <f t="shared" si="13"/>
        <v>1880</v>
      </c>
      <c r="P51" s="14">
        <f t="shared" si="46"/>
        <v>6239</v>
      </c>
      <c r="Q51" s="519">
        <f t="shared" si="14"/>
        <v>3855</v>
      </c>
      <c r="R51" s="519">
        <f t="shared" si="47"/>
        <v>24051345</v>
      </c>
      <c r="S51" s="519">
        <f>'Table 6 (Local Deduct Calc.)'!J52</f>
        <v>9964696</v>
      </c>
      <c r="T51" s="519">
        <f t="shared" si="15"/>
        <v>9964696</v>
      </c>
      <c r="U51" s="520">
        <f t="shared" si="16"/>
        <v>14086649</v>
      </c>
      <c r="V51" s="521">
        <f t="shared" si="40"/>
        <v>0.5857</v>
      </c>
      <c r="W51" s="521">
        <f t="shared" si="17"/>
        <v>0.4143</v>
      </c>
      <c r="X51" s="522">
        <f t="shared" si="18"/>
        <v>2286.0050470291353</v>
      </c>
      <c r="Y51" s="519">
        <f>'Table 7 Local Revenue'!AQ51</f>
        <v>22605877</v>
      </c>
      <c r="Z51" s="519">
        <f t="shared" si="19"/>
        <v>12641181</v>
      </c>
      <c r="AA51" s="380">
        <f t="shared" si="20"/>
        <v>0</v>
      </c>
      <c r="AB51" s="15">
        <f t="shared" si="21"/>
        <v>8177457.300000001</v>
      </c>
      <c r="AC51" s="15">
        <f t="shared" si="22"/>
        <v>8177457.300000001</v>
      </c>
      <c r="AD51" s="519">
        <f t="shared" si="23"/>
        <v>5827223.3621508</v>
      </c>
      <c r="AE51" s="523">
        <f t="shared" si="24"/>
        <v>2350233.9378492003</v>
      </c>
      <c r="AF51" s="17">
        <f t="shared" si="25"/>
        <v>0.2874</v>
      </c>
      <c r="AG51" s="523">
        <f t="shared" si="26"/>
        <v>16436882.937849201</v>
      </c>
      <c r="AH51" s="15">
        <f t="shared" si="27"/>
        <v>3771</v>
      </c>
      <c r="AI51" s="523">
        <f>'Table 4 Level 3'!T49</f>
        <v>1434889</v>
      </c>
      <c r="AJ51" s="15">
        <f t="shared" si="48"/>
        <v>329.17848130305117</v>
      </c>
      <c r="AK51" s="523">
        <f t="shared" si="28"/>
        <v>17871771.9378492</v>
      </c>
      <c r="AL51" s="15">
        <f t="shared" si="49"/>
        <v>4099.9706212088095</v>
      </c>
      <c r="AM51" s="869">
        <f>'Table 4 Level 3'!AG49</f>
        <v>3428085.34</v>
      </c>
      <c r="AN51" s="870">
        <f t="shared" si="30"/>
        <v>786.4384813030512</v>
      </c>
      <c r="AO51" s="523">
        <f t="shared" si="31"/>
        <v>19864968.2778492</v>
      </c>
      <c r="AP51" s="15">
        <f t="shared" si="32"/>
        <v>4557.23062120881</v>
      </c>
      <c r="AQ51" s="17">
        <f t="shared" si="33"/>
        <v>0.5226643706011832</v>
      </c>
      <c r="AR51" s="524">
        <f t="shared" si="34"/>
        <v>56</v>
      </c>
      <c r="AS51" s="15">
        <f t="shared" si="35"/>
        <v>18142153.3</v>
      </c>
      <c r="AT51" s="15">
        <f t="shared" si="50"/>
        <v>4162</v>
      </c>
      <c r="AU51" s="524">
        <f t="shared" si="36"/>
        <v>16</v>
      </c>
      <c r="AV51" s="17">
        <f t="shared" si="37"/>
        <v>0.4773356293988168</v>
      </c>
      <c r="AW51" s="524">
        <f t="shared" si="38"/>
        <v>38007121.5778492</v>
      </c>
      <c r="AX51" s="525">
        <f t="shared" si="51"/>
        <v>8719.229542979858</v>
      </c>
      <c r="AY51" s="524">
        <f t="shared" si="39"/>
        <v>34</v>
      </c>
      <c r="AZ51" s="15"/>
      <c r="BA51" s="380"/>
      <c r="BB51" s="524"/>
      <c r="BC51" s="524"/>
      <c r="BD51" s="319"/>
      <c r="BE51" s="216"/>
      <c r="BF51" s="225"/>
      <c r="BG51" s="225"/>
      <c r="BH51" s="225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</row>
    <row r="52" spans="1:154" s="22" customFormat="1" ht="12.75">
      <c r="A52" s="127">
        <v>45</v>
      </c>
      <c r="B52" s="102" t="s">
        <v>346</v>
      </c>
      <c r="C52" s="102">
        <f>'Table 8 Membership, 2.1.09'!R49</f>
        <v>9255</v>
      </c>
      <c r="D52" s="102">
        <v>4236</v>
      </c>
      <c r="E52" s="102">
        <f t="shared" si="41"/>
        <v>932</v>
      </c>
      <c r="F52" s="102">
        <v>3458</v>
      </c>
      <c r="G52" s="102">
        <f t="shared" si="42"/>
        <v>207</v>
      </c>
      <c r="H52" s="102">
        <v>1062</v>
      </c>
      <c r="I52" s="102">
        <f t="shared" si="11"/>
        <v>1593</v>
      </c>
      <c r="J52" s="102">
        <v>585</v>
      </c>
      <c r="K52" s="20">
        <f t="shared" si="12"/>
        <v>351</v>
      </c>
      <c r="L52" s="20">
        <f t="shared" si="43"/>
        <v>0</v>
      </c>
      <c r="M52" s="85">
        <f t="shared" si="44"/>
        <v>0</v>
      </c>
      <c r="N52" s="20">
        <f t="shared" si="45"/>
        <v>0</v>
      </c>
      <c r="O52" s="20">
        <f t="shared" si="13"/>
        <v>3083</v>
      </c>
      <c r="P52" s="14">
        <f t="shared" si="46"/>
        <v>12338</v>
      </c>
      <c r="Q52" s="526">
        <f t="shared" si="14"/>
        <v>3855</v>
      </c>
      <c r="R52" s="526">
        <f t="shared" si="47"/>
        <v>47562990</v>
      </c>
      <c r="S52" s="526">
        <f>'Table 6 (Local Deduct Calc.)'!J53</f>
        <v>31119583</v>
      </c>
      <c r="T52" s="526">
        <f t="shared" si="15"/>
        <v>31119583</v>
      </c>
      <c r="U52" s="527">
        <f t="shared" si="16"/>
        <v>16443407</v>
      </c>
      <c r="V52" s="528">
        <f t="shared" si="40"/>
        <v>0.3457</v>
      </c>
      <c r="W52" s="529">
        <f t="shared" si="17"/>
        <v>0.6543</v>
      </c>
      <c r="X52" s="530">
        <f t="shared" si="18"/>
        <v>3362.461696380335</v>
      </c>
      <c r="Y52" s="526">
        <f>'Table 7 Local Revenue'!AQ52</f>
        <v>97737228</v>
      </c>
      <c r="Z52" s="526">
        <f t="shared" si="19"/>
        <v>66617645</v>
      </c>
      <c r="AA52" s="381">
        <f t="shared" si="20"/>
        <v>0</v>
      </c>
      <c r="AB52" s="21">
        <f t="shared" si="21"/>
        <v>16171416.600000001</v>
      </c>
      <c r="AC52" s="21">
        <f t="shared" si="22"/>
        <v>16171416.600000001</v>
      </c>
      <c r="AD52" s="526">
        <f t="shared" si="23"/>
        <v>18199247.555973604</v>
      </c>
      <c r="AE52" s="531">
        <f t="shared" si="24"/>
        <v>0</v>
      </c>
      <c r="AF52" s="374">
        <f t="shared" si="25"/>
        <v>0</v>
      </c>
      <c r="AG52" s="531">
        <f t="shared" si="26"/>
        <v>16443407</v>
      </c>
      <c r="AH52" s="21">
        <f t="shared" si="27"/>
        <v>1777</v>
      </c>
      <c r="AI52" s="531">
        <f>'Table 4 Level 3'!T50</f>
        <v>9892897</v>
      </c>
      <c r="AJ52" s="21">
        <f t="shared" si="48"/>
        <v>1068.9245813074015</v>
      </c>
      <c r="AK52" s="531">
        <f t="shared" si="28"/>
        <v>26336304</v>
      </c>
      <c r="AL52" s="21">
        <f t="shared" si="49"/>
        <v>2845.62982171799</v>
      </c>
      <c r="AM52" s="871">
        <f>'Table 4 Level 3'!AG50</f>
        <v>14551216.15</v>
      </c>
      <c r="AN52" s="872">
        <f t="shared" si="30"/>
        <v>1572.2545813074014</v>
      </c>
      <c r="AO52" s="531">
        <f t="shared" si="31"/>
        <v>30994623.15</v>
      </c>
      <c r="AP52" s="21">
        <f t="shared" si="32"/>
        <v>3348.95982171799</v>
      </c>
      <c r="AQ52" s="374">
        <f t="shared" si="33"/>
        <v>0.39591718199623055</v>
      </c>
      <c r="AR52" s="532">
        <f t="shared" si="34"/>
        <v>67</v>
      </c>
      <c r="AS52" s="21">
        <f t="shared" si="35"/>
        <v>47290999.6</v>
      </c>
      <c r="AT52" s="21">
        <f t="shared" si="50"/>
        <v>5109.78</v>
      </c>
      <c r="AU52" s="532">
        <f t="shared" si="36"/>
        <v>6</v>
      </c>
      <c r="AV52" s="374">
        <f t="shared" si="37"/>
        <v>0.6040828180037694</v>
      </c>
      <c r="AW52" s="532">
        <f t="shared" si="38"/>
        <v>78285622.75</v>
      </c>
      <c r="AX52" s="533">
        <f t="shared" si="51"/>
        <v>8458.738276607239</v>
      </c>
      <c r="AY52" s="532">
        <f t="shared" si="39"/>
        <v>45</v>
      </c>
      <c r="AZ52" s="21"/>
      <c r="BA52" s="381"/>
      <c r="BB52" s="532"/>
      <c r="BC52" s="532"/>
      <c r="BD52" s="319"/>
      <c r="BE52" s="216"/>
      <c r="BF52" s="225"/>
      <c r="BG52" s="225"/>
      <c r="BH52" s="225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</row>
    <row r="53" spans="1:154" s="5" customFormat="1" ht="12.75">
      <c r="A53" s="126">
        <v>46</v>
      </c>
      <c r="B53" s="101" t="s">
        <v>347</v>
      </c>
      <c r="C53" s="101">
        <f>'Table 8 Membership, 2.1.09'!R50</f>
        <v>1140</v>
      </c>
      <c r="D53" s="101">
        <v>1097</v>
      </c>
      <c r="E53" s="101">
        <f t="shared" si="41"/>
        <v>241</v>
      </c>
      <c r="F53" s="101">
        <v>407</v>
      </c>
      <c r="G53" s="101">
        <f t="shared" si="42"/>
        <v>24</v>
      </c>
      <c r="H53" s="101">
        <v>204</v>
      </c>
      <c r="I53" s="101">
        <f t="shared" si="11"/>
        <v>306</v>
      </c>
      <c r="J53" s="101">
        <v>15</v>
      </c>
      <c r="K53" s="14">
        <f t="shared" si="12"/>
        <v>9</v>
      </c>
      <c r="L53" s="14">
        <f t="shared" si="43"/>
        <v>6360</v>
      </c>
      <c r="M53" s="84">
        <f t="shared" si="44"/>
        <v>0.1696</v>
      </c>
      <c r="N53" s="14">
        <f t="shared" si="45"/>
        <v>193</v>
      </c>
      <c r="O53" s="14">
        <f t="shared" si="13"/>
        <v>773</v>
      </c>
      <c r="P53" s="43">
        <f t="shared" si="46"/>
        <v>1913</v>
      </c>
      <c r="Q53" s="519">
        <f t="shared" si="14"/>
        <v>3855</v>
      </c>
      <c r="R53" s="519">
        <f t="shared" si="47"/>
        <v>7374615</v>
      </c>
      <c r="S53" s="519">
        <f>'Table 6 (Local Deduct Calc.)'!J54</f>
        <v>1431376</v>
      </c>
      <c r="T53" s="519">
        <f t="shared" si="15"/>
        <v>1431376</v>
      </c>
      <c r="U53" s="520">
        <f t="shared" si="16"/>
        <v>5943239</v>
      </c>
      <c r="V53" s="521">
        <f t="shared" si="40"/>
        <v>0.8059</v>
      </c>
      <c r="W53" s="521">
        <f t="shared" si="17"/>
        <v>0.1941</v>
      </c>
      <c r="X53" s="522">
        <f t="shared" si="18"/>
        <v>1255.5929824561404</v>
      </c>
      <c r="Y53" s="519">
        <f>'Table 7 Local Revenue'!AQ53</f>
        <v>2085347</v>
      </c>
      <c r="Z53" s="519">
        <f t="shared" si="19"/>
        <v>653971</v>
      </c>
      <c r="AA53" s="380">
        <f t="shared" si="20"/>
        <v>0</v>
      </c>
      <c r="AB53" s="15">
        <f t="shared" si="21"/>
        <v>2507369.1</v>
      </c>
      <c r="AC53" s="15">
        <f t="shared" si="22"/>
        <v>653971</v>
      </c>
      <c r="AD53" s="519">
        <f t="shared" si="23"/>
        <v>218329.526292</v>
      </c>
      <c r="AE53" s="523">
        <f t="shared" si="24"/>
        <v>435641.47370800003</v>
      </c>
      <c r="AF53" s="17">
        <f t="shared" si="25"/>
        <v>0.6661</v>
      </c>
      <c r="AG53" s="523">
        <f t="shared" si="26"/>
        <v>6378880.473708</v>
      </c>
      <c r="AH53" s="15">
        <f t="shared" si="27"/>
        <v>5596</v>
      </c>
      <c r="AI53" s="523">
        <f>'Table 4 Level 3'!T51</f>
        <v>571890</v>
      </c>
      <c r="AJ53" s="15">
        <f t="shared" si="48"/>
        <v>501.6578947368421</v>
      </c>
      <c r="AK53" s="523">
        <f t="shared" si="28"/>
        <v>6950770.473708</v>
      </c>
      <c r="AL53" s="15">
        <f t="shared" si="49"/>
        <v>6097.1670822</v>
      </c>
      <c r="AM53" s="869">
        <f>'Table 4 Level 3'!AG51</f>
        <v>970525.2</v>
      </c>
      <c r="AN53" s="870">
        <f t="shared" si="30"/>
        <v>851.337894736842</v>
      </c>
      <c r="AO53" s="523">
        <f t="shared" si="31"/>
        <v>7349405.673708</v>
      </c>
      <c r="AP53" s="15">
        <f t="shared" si="32"/>
        <v>6446.8470822</v>
      </c>
      <c r="AQ53" s="17">
        <f t="shared" si="33"/>
        <v>0.778971736502296</v>
      </c>
      <c r="AR53" s="524">
        <f t="shared" si="34"/>
        <v>7</v>
      </c>
      <c r="AS53" s="15">
        <f t="shared" si="35"/>
        <v>2085347</v>
      </c>
      <c r="AT53" s="15">
        <f t="shared" si="50"/>
        <v>1829.25</v>
      </c>
      <c r="AU53" s="524">
        <f t="shared" si="36"/>
        <v>62</v>
      </c>
      <c r="AV53" s="17">
        <f t="shared" si="37"/>
        <v>0.2210282634977041</v>
      </c>
      <c r="AW53" s="524">
        <f t="shared" si="38"/>
        <v>9434752.673708</v>
      </c>
      <c r="AX53" s="525">
        <f t="shared" si="51"/>
        <v>8276.098836585965</v>
      </c>
      <c r="AY53" s="524">
        <f t="shared" si="39"/>
        <v>49</v>
      </c>
      <c r="AZ53" s="15"/>
      <c r="BA53" s="380"/>
      <c r="BB53" s="524"/>
      <c r="BC53" s="524"/>
      <c r="BD53" s="319"/>
      <c r="BE53" s="216"/>
      <c r="BF53" s="225"/>
      <c r="BG53" s="225"/>
      <c r="BH53" s="225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</row>
    <row r="54" spans="1:154" s="5" customFormat="1" ht="12.75">
      <c r="A54" s="126">
        <v>47</v>
      </c>
      <c r="B54" s="101" t="s">
        <v>348</v>
      </c>
      <c r="C54" s="101">
        <f>'Table 8 Membership, 2.1.09'!R51</f>
        <v>3776</v>
      </c>
      <c r="D54" s="101">
        <v>2510</v>
      </c>
      <c r="E54" s="101">
        <f t="shared" si="41"/>
        <v>552</v>
      </c>
      <c r="F54" s="101">
        <v>1934</v>
      </c>
      <c r="G54" s="101">
        <f t="shared" si="42"/>
        <v>116</v>
      </c>
      <c r="H54" s="101">
        <v>510</v>
      </c>
      <c r="I54" s="101">
        <f t="shared" si="11"/>
        <v>765</v>
      </c>
      <c r="J54" s="101">
        <v>74</v>
      </c>
      <c r="K54" s="14">
        <f t="shared" si="12"/>
        <v>44</v>
      </c>
      <c r="L54" s="14">
        <f t="shared" si="43"/>
        <v>3724</v>
      </c>
      <c r="M54" s="84">
        <f t="shared" si="44"/>
        <v>0.09931</v>
      </c>
      <c r="N54" s="14">
        <f t="shared" si="45"/>
        <v>375</v>
      </c>
      <c r="O54" s="14">
        <f t="shared" si="13"/>
        <v>1852</v>
      </c>
      <c r="P54" s="14">
        <f t="shared" si="46"/>
        <v>5628</v>
      </c>
      <c r="Q54" s="519">
        <f t="shared" si="14"/>
        <v>3855</v>
      </c>
      <c r="R54" s="519">
        <f t="shared" si="47"/>
        <v>21695940</v>
      </c>
      <c r="S54" s="519">
        <f>'Table 6 (Local Deduct Calc.)'!J55</f>
        <v>10743801</v>
      </c>
      <c r="T54" s="519">
        <f t="shared" si="15"/>
        <v>10743801</v>
      </c>
      <c r="U54" s="520">
        <f t="shared" si="16"/>
        <v>10952139</v>
      </c>
      <c r="V54" s="521">
        <f t="shared" si="40"/>
        <v>0.5048</v>
      </c>
      <c r="W54" s="521">
        <f t="shared" si="17"/>
        <v>0.4952</v>
      </c>
      <c r="X54" s="522">
        <f t="shared" si="18"/>
        <v>2845.286281779661</v>
      </c>
      <c r="Y54" s="519">
        <f>'Table 7 Local Revenue'!AQ54</f>
        <v>28341556</v>
      </c>
      <c r="Z54" s="519">
        <f t="shared" si="19"/>
        <v>17597755</v>
      </c>
      <c r="AA54" s="380">
        <f t="shared" si="20"/>
        <v>0</v>
      </c>
      <c r="AB54" s="15">
        <f t="shared" si="21"/>
        <v>7376619.600000001</v>
      </c>
      <c r="AC54" s="15">
        <f t="shared" si="22"/>
        <v>7376619.600000001</v>
      </c>
      <c r="AD54" s="519">
        <f t="shared" si="23"/>
        <v>6282991.4845824</v>
      </c>
      <c r="AE54" s="523">
        <f t="shared" si="24"/>
        <v>1093628.1154176006</v>
      </c>
      <c r="AF54" s="17">
        <f t="shared" si="25"/>
        <v>0.1483</v>
      </c>
      <c r="AG54" s="523">
        <f t="shared" si="26"/>
        <v>12045767.1154176</v>
      </c>
      <c r="AH54" s="15">
        <f t="shared" si="27"/>
        <v>3190</v>
      </c>
      <c r="AI54" s="523">
        <f>'Table 4 Level 3'!T52</f>
        <v>3613587</v>
      </c>
      <c r="AJ54" s="15">
        <f t="shared" si="48"/>
        <v>956.9880826271186</v>
      </c>
      <c r="AK54" s="523">
        <f t="shared" si="28"/>
        <v>15659354.1154176</v>
      </c>
      <c r="AL54" s="15">
        <f t="shared" si="49"/>
        <v>4147.074712769491</v>
      </c>
      <c r="AM54" s="869">
        <f>'Table 4 Level 3'!AG52</f>
        <v>5430560.4399999995</v>
      </c>
      <c r="AN54" s="870">
        <f t="shared" si="30"/>
        <v>1438.1780826271186</v>
      </c>
      <c r="AO54" s="523">
        <f t="shared" si="31"/>
        <v>17476327.555417597</v>
      </c>
      <c r="AP54" s="15">
        <f t="shared" si="32"/>
        <v>4628.264712769491</v>
      </c>
      <c r="AQ54" s="17">
        <f t="shared" si="33"/>
        <v>0.49095292297810106</v>
      </c>
      <c r="AR54" s="524">
        <f t="shared" si="34"/>
        <v>59</v>
      </c>
      <c r="AS54" s="15">
        <f t="shared" si="35"/>
        <v>18120420.6</v>
      </c>
      <c r="AT54" s="15">
        <f t="shared" si="50"/>
        <v>4798.84</v>
      </c>
      <c r="AU54" s="524">
        <f t="shared" si="36"/>
        <v>9</v>
      </c>
      <c r="AV54" s="17">
        <f t="shared" si="37"/>
        <v>0.509047077021899</v>
      </c>
      <c r="AW54" s="524">
        <f t="shared" si="38"/>
        <v>35596748.1554176</v>
      </c>
      <c r="AX54" s="525">
        <f t="shared" si="51"/>
        <v>9427.104914040678</v>
      </c>
      <c r="AY54" s="524">
        <f t="shared" si="39"/>
        <v>12</v>
      </c>
      <c r="AZ54" s="15"/>
      <c r="BA54" s="380"/>
      <c r="BB54" s="524"/>
      <c r="BC54" s="524"/>
      <c r="BD54" s="319"/>
      <c r="BE54" s="216"/>
      <c r="BF54" s="225"/>
      <c r="BG54" s="225"/>
      <c r="BH54" s="225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</row>
    <row r="55" spans="1:154" s="5" customFormat="1" ht="12.75">
      <c r="A55" s="126">
        <v>48</v>
      </c>
      <c r="B55" s="101" t="s">
        <v>428</v>
      </c>
      <c r="C55" s="101">
        <f>'Table 8 Membership, 2.1.09'!R52</f>
        <v>6078</v>
      </c>
      <c r="D55" s="101">
        <v>5155</v>
      </c>
      <c r="E55" s="101">
        <f t="shared" si="41"/>
        <v>1134</v>
      </c>
      <c r="F55" s="101">
        <v>1701</v>
      </c>
      <c r="G55" s="101">
        <f t="shared" si="42"/>
        <v>102</v>
      </c>
      <c r="H55" s="101">
        <v>913</v>
      </c>
      <c r="I55" s="101">
        <f t="shared" si="11"/>
        <v>1370</v>
      </c>
      <c r="J55" s="101">
        <v>111</v>
      </c>
      <c r="K55" s="14">
        <f t="shared" si="12"/>
        <v>67</v>
      </c>
      <c r="L55" s="14">
        <f t="shared" si="43"/>
        <v>1422</v>
      </c>
      <c r="M55" s="84">
        <f t="shared" si="44"/>
        <v>0.03792</v>
      </c>
      <c r="N55" s="14">
        <f t="shared" si="45"/>
        <v>230</v>
      </c>
      <c r="O55" s="14">
        <f t="shared" si="13"/>
        <v>2903</v>
      </c>
      <c r="P55" s="14">
        <f t="shared" si="46"/>
        <v>8981</v>
      </c>
      <c r="Q55" s="519">
        <f t="shared" si="14"/>
        <v>3855</v>
      </c>
      <c r="R55" s="519">
        <f t="shared" si="47"/>
        <v>34621755</v>
      </c>
      <c r="S55" s="519">
        <f>'Table 6 (Local Deduct Calc.)'!J56</f>
        <v>13679676</v>
      </c>
      <c r="T55" s="519">
        <f t="shared" si="15"/>
        <v>13679676</v>
      </c>
      <c r="U55" s="520">
        <f t="shared" si="16"/>
        <v>20942079</v>
      </c>
      <c r="V55" s="521">
        <f t="shared" si="40"/>
        <v>0.6049</v>
      </c>
      <c r="W55" s="521">
        <f t="shared" si="17"/>
        <v>0.3951</v>
      </c>
      <c r="X55" s="522">
        <f t="shared" si="18"/>
        <v>2250.6870681145115</v>
      </c>
      <c r="Y55" s="519">
        <f>'Table 7 Local Revenue'!AQ55</f>
        <v>34690671</v>
      </c>
      <c r="Z55" s="519">
        <f t="shared" si="19"/>
        <v>21010995</v>
      </c>
      <c r="AA55" s="380">
        <f t="shared" si="20"/>
        <v>0</v>
      </c>
      <c r="AB55" s="15">
        <f t="shared" si="21"/>
        <v>11771396.700000001</v>
      </c>
      <c r="AC55" s="15">
        <f t="shared" si="22"/>
        <v>11771396.700000001</v>
      </c>
      <c r="AD55" s="519">
        <f t="shared" si="23"/>
        <v>7999511.5982124</v>
      </c>
      <c r="AE55" s="523">
        <f t="shared" si="24"/>
        <v>3771885.1017876007</v>
      </c>
      <c r="AF55" s="17">
        <f t="shared" si="25"/>
        <v>0.3204</v>
      </c>
      <c r="AG55" s="523">
        <f t="shared" si="26"/>
        <v>24713964.1017876</v>
      </c>
      <c r="AH55" s="15">
        <f t="shared" si="27"/>
        <v>4066</v>
      </c>
      <c r="AI55" s="523">
        <f>'Table 4 Level 3'!T53</f>
        <v>3265345</v>
      </c>
      <c r="AJ55" s="15">
        <f t="shared" si="48"/>
        <v>537.2400460677854</v>
      </c>
      <c r="AK55" s="523">
        <f t="shared" si="28"/>
        <v>27979309.1017876</v>
      </c>
      <c r="AL55" s="15">
        <f t="shared" si="49"/>
        <v>4603.374317503719</v>
      </c>
      <c r="AM55" s="869">
        <f>'Table 4 Level 3'!AG53</f>
        <v>6103649.4399999995</v>
      </c>
      <c r="AN55" s="870">
        <f t="shared" si="30"/>
        <v>1004.2200460677853</v>
      </c>
      <c r="AO55" s="523">
        <f t="shared" si="31"/>
        <v>30817613.541787602</v>
      </c>
      <c r="AP55" s="15">
        <f t="shared" si="32"/>
        <v>5070.354317503718</v>
      </c>
      <c r="AQ55" s="17">
        <f t="shared" si="33"/>
        <v>0.547686743731029</v>
      </c>
      <c r="AR55" s="524">
        <f t="shared" si="34"/>
        <v>53</v>
      </c>
      <c r="AS55" s="15">
        <f t="shared" si="35"/>
        <v>25451072.7</v>
      </c>
      <c r="AT55" s="15">
        <f t="shared" si="50"/>
        <v>4187.41</v>
      </c>
      <c r="AU55" s="524">
        <f t="shared" si="36"/>
        <v>14</v>
      </c>
      <c r="AV55" s="17">
        <f t="shared" si="37"/>
        <v>0.45231325626897106</v>
      </c>
      <c r="AW55" s="524">
        <f t="shared" si="38"/>
        <v>56268686.2417876</v>
      </c>
      <c r="AX55" s="525">
        <f t="shared" si="51"/>
        <v>9257.763448796906</v>
      </c>
      <c r="AY55" s="524">
        <f t="shared" si="39"/>
        <v>14</v>
      </c>
      <c r="AZ55" s="15"/>
      <c r="BA55" s="380"/>
      <c r="BB55" s="524"/>
      <c r="BC55" s="524"/>
      <c r="BD55" s="319"/>
      <c r="BE55" s="216"/>
      <c r="BF55" s="225"/>
      <c r="BG55" s="225"/>
      <c r="BH55" s="22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</row>
    <row r="56" spans="1:154" s="5" customFormat="1" ht="12.75">
      <c r="A56" s="126">
        <v>49</v>
      </c>
      <c r="B56" s="101" t="s">
        <v>349</v>
      </c>
      <c r="C56" s="101">
        <f>'Table 8 Membership, 2.1.09'!R53</f>
        <v>14469</v>
      </c>
      <c r="D56" s="101">
        <v>10731</v>
      </c>
      <c r="E56" s="101">
        <f t="shared" si="41"/>
        <v>2361</v>
      </c>
      <c r="F56" s="101">
        <v>4594</v>
      </c>
      <c r="G56" s="101">
        <f t="shared" si="42"/>
        <v>276</v>
      </c>
      <c r="H56" s="101">
        <v>2093</v>
      </c>
      <c r="I56" s="101">
        <f t="shared" si="11"/>
        <v>3140</v>
      </c>
      <c r="J56" s="101">
        <v>306</v>
      </c>
      <c r="K56" s="14">
        <f t="shared" si="12"/>
        <v>184</v>
      </c>
      <c r="L56" s="14">
        <f t="shared" si="43"/>
        <v>0</v>
      </c>
      <c r="M56" s="84">
        <f t="shared" si="44"/>
        <v>0</v>
      </c>
      <c r="N56" s="14">
        <f t="shared" si="45"/>
        <v>0</v>
      </c>
      <c r="O56" s="14">
        <f t="shared" si="13"/>
        <v>5961</v>
      </c>
      <c r="P56" s="14">
        <f t="shared" si="46"/>
        <v>20430</v>
      </c>
      <c r="Q56" s="519">
        <f t="shared" si="14"/>
        <v>3855</v>
      </c>
      <c r="R56" s="519">
        <f t="shared" si="47"/>
        <v>78757650</v>
      </c>
      <c r="S56" s="519">
        <f>'Table 6 (Local Deduct Calc.)'!J57</f>
        <v>18445919</v>
      </c>
      <c r="T56" s="519">
        <f t="shared" si="15"/>
        <v>18445919</v>
      </c>
      <c r="U56" s="520">
        <f t="shared" si="16"/>
        <v>60311731</v>
      </c>
      <c r="V56" s="521">
        <f t="shared" si="40"/>
        <v>0.7658</v>
      </c>
      <c r="W56" s="521">
        <f t="shared" si="17"/>
        <v>0.2342</v>
      </c>
      <c r="X56" s="522">
        <f t="shared" si="18"/>
        <v>1274.8579031031861</v>
      </c>
      <c r="Y56" s="519">
        <f>'Table 7 Local Revenue'!AQ56</f>
        <v>30819755</v>
      </c>
      <c r="Z56" s="519">
        <f t="shared" si="19"/>
        <v>12373836</v>
      </c>
      <c r="AA56" s="380">
        <f t="shared" si="20"/>
        <v>0</v>
      </c>
      <c r="AB56" s="15">
        <f t="shared" si="21"/>
        <v>26777601.000000004</v>
      </c>
      <c r="AC56" s="15">
        <f t="shared" si="22"/>
        <v>12373836</v>
      </c>
      <c r="AD56" s="519">
        <f t="shared" si="23"/>
        <v>4984478.112864</v>
      </c>
      <c r="AE56" s="523">
        <f t="shared" si="24"/>
        <v>7389357.887136</v>
      </c>
      <c r="AF56" s="17">
        <f t="shared" si="25"/>
        <v>0.5972</v>
      </c>
      <c r="AG56" s="523">
        <f t="shared" si="26"/>
        <v>67701088.887136</v>
      </c>
      <c r="AH56" s="15">
        <f t="shared" si="27"/>
        <v>4679</v>
      </c>
      <c r="AI56" s="523">
        <f>'Table 4 Level 3'!T54</f>
        <v>5271236</v>
      </c>
      <c r="AJ56" s="15">
        <f t="shared" si="48"/>
        <v>364.3123920105052</v>
      </c>
      <c r="AK56" s="523">
        <f t="shared" si="28"/>
        <v>72972324.887136</v>
      </c>
      <c r="AL56" s="15">
        <f t="shared" si="49"/>
        <v>5043.356478480614</v>
      </c>
      <c r="AM56" s="869">
        <f>'Table 4 Level 3'!AG54</f>
        <v>10395287.66</v>
      </c>
      <c r="AN56" s="870">
        <f t="shared" si="30"/>
        <v>718.4523920105053</v>
      </c>
      <c r="AO56" s="523">
        <f t="shared" si="31"/>
        <v>78096376.547136</v>
      </c>
      <c r="AP56" s="15">
        <f t="shared" si="32"/>
        <v>5397.496478480613</v>
      </c>
      <c r="AQ56" s="17">
        <f t="shared" si="33"/>
        <v>0.7170322287230516</v>
      </c>
      <c r="AR56" s="524">
        <f t="shared" si="34"/>
        <v>19</v>
      </c>
      <c r="AS56" s="15">
        <f t="shared" si="35"/>
        <v>30819755</v>
      </c>
      <c r="AT56" s="15">
        <f t="shared" si="50"/>
        <v>2130.05</v>
      </c>
      <c r="AU56" s="524">
        <f t="shared" si="36"/>
        <v>55</v>
      </c>
      <c r="AV56" s="17">
        <f t="shared" si="37"/>
        <v>0.2829677712769484</v>
      </c>
      <c r="AW56" s="524">
        <f t="shared" si="38"/>
        <v>108916131.547136</v>
      </c>
      <c r="AX56" s="525">
        <f t="shared" si="51"/>
        <v>7527.550732402792</v>
      </c>
      <c r="AY56" s="524">
        <f t="shared" si="39"/>
        <v>64</v>
      </c>
      <c r="AZ56" s="15"/>
      <c r="BA56" s="380"/>
      <c r="BB56" s="524"/>
      <c r="BC56" s="524"/>
      <c r="BD56" s="319"/>
      <c r="BE56" s="216"/>
      <c r="BF56" s="225"/>
      <c r="BG56" s="225"/>
      <c r="BH56" s="225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</row>
    <row r="57" spans="1:154" s="22" customFormat="1" ht="12.75">
      <c r="A57" s="127">
        <v>50</v>
      </c>
      <c r="B57" s="102" t="s">
        <v>350</v>
      </c>
      <c r="C57" s="102">
        <f>'Table 8 Membership, 2.1.09'!R54</f>
        <v>7959</v>
      </c>
      <c r="D57" s="102">
        <v>5381</v>
      </c>
      <c r="E57" s="102">
        <f t="shared" si="41"/>
        <v>1184</v>
      </c>
      <c r="F57" s="102">
        <v>3343</v>
      </c>
      <c r="G57" s="102">
        <f t="shared" si="42"/>
        <v>201</v>
      </c>
      <c r="H57" s="102">
        <v>1064</v>
      </c>
      <c r="I57" s="102">
        <f t="shared" si="11"/>
        <v>1596</v>
      </c>
      <c r="J57" s="102">
        <v>98</v>
      </c>
      <c r="K57" s="20">
        <f t="shared" si="12"/>
        <v>59</v>
      </c>
      <c r="L57" s="20">
        <f t="shared" si="43"/>
        <v>0</v>
      </c>
      <c r="M57" s="85">
        <f t="shared" si="44"/>
        <v>0</v>
      </c>
      <c r="N57" s="20">
        <f t="shared" si="45"/>
        <v>0</v>
      </c>
      <c r="O57" s="20">
        <f t="shared" si="13"/>
        <v>3040</v>
      </c>
      <c r="P57" s="14">
        <f t="shared" si="46"/>
        <v>10999</v>
      </c>
      <c r="Q57" s="526">
        <f t="shared" si="14"/>
        <v>3855</v>
      </c>
      <c r="R57" s="526">
        <f t="shared" si="47"/>
        <v>42401145</v>
      </c>
      <c r="S57" s="526">
        <f>'Table 6 (Local Deduct Calc.)'!J58</f>
        <v>9170222</v>
      </c>
      <c r="T57" s="526">
        <f t="shared" si="15"/>
        <v>9170222</v>
      </c>
      <c r="U57" s="527">
        <f t="shared" si="16"/>
        <v>33230923</v>
      </c>
      <c r="V57" s="528">
        <f t="shared" si="40"/>
        <v>0.7837</v>
      </c>
      <c r="W57" s="529">
        <f t="shared" si="17"/>
        <v>0.2163</v>
      </c>
      <c r="X57" s="530">
        <f t="shared" si="18"/>
        <v>1152.182686267119</v>
      </c>
      <c r="Y57" s="526">
        <f>'Table 7 Local Revenue'!AQ57</f>
        <v>18438290</v>
      </c>
      <c r="Z57" s="526">
        <f t="shared" si="19"/>
        <v>9268068</v>
      </c>
      <c r="AA57" s="381">
        <f t="shared" si="20"/>
        <v>0</v>
      </c>
      <c r="AB57" s="21">
        <f t="shared" si="21"/>
        <v>14416389.3</v>
      </c>
      <c r="AC57" s="21">
        <f t="shared" si="22"/>
        <v>9268068</v>
      </c>
      <c r="AD57" s="526">
        <f t="shared" si="23"/>
        <v>3448054.9464479997</v>
      </c>
      <c r="AE57" s="531">
        <f t="shared" si="24"/>
        <v>5820013.053552</v>
      </c>
      <c r="AF57" s="374">
        <f t="shared" si="25"/>
        <v>0.628</v>
      </c>
      <c r="AG57" s="531">
        <f t="shared" si="26"/>
        <v>39050936.053552</v>
      </c>
      <c r="AH57" s="21">
        <f t="shared" si="27"/>
        <v>4907</v>
      </c>
      <c r="AI57" s="531">
        <f>'Table 4 Level 3'!T55</f>
        <v>3216268</v>
      </c>
      <c r="AJ57" s="21">
        <f t="shared" si="48"/>
        <v>404.1045357456967</v>
      </c>
      <c r="AK57" s="531">
        <f t="shared" si="28"/>
        <v>42267204.053552</v>
      </c>
      <c r="AL57" s="21">
        <f t="shared" si="49"/>
        <v>5310.617420976505</v>
      </c>
      <c r="AM57" s="871">
        <f>'Table 4 Level 3'!AG55</f>
        <v>6350840.5600000005</v>
      </c>
      <c r="AN57" s="872">
        <f t="shared" si="30"/>
        <v>797.9445357456967</v>
      </c>
      <c r="AO57" s="531">
        <f t="shared" si="31"/>
        <v>45401776.613552004</v>
      </c>
      <c r="AP57" s="21">
        <f t="shared" si="32"/>
        <v>5704.457420976505</v>
      </c>
      <c r="AQ57" s="374">
        <f t="shared" si="33"/>
        <v>0.7111799692877214</v>
      </c>
      <c r="AR57" s="532">
        <f t="shared" si="34"/>
        <v>20</v>
      </c>
      <c r="AS57" s="21">
        <f t="shared" si="35"/>
        <v>18438290</v>
      </c>
      <c r="AT57" s="21">
        <f t="shared" si="50"/>
        <v>2316.66</v>
      </c>
      <c r="AU57" s="532">
        <f t="shared" si="36"/>
        <v>52</v>
      </c>
      <c r="AV57" s="374">
        <f t="shared" si="37"/>
        <v>0.2888200307122786</v>
      </c>
      <c r="AW57" s="532">
        <f t="shared" si="38"/>
        <v>63840066.613552004</v>
      </c>
      <c r="AX57" s="533">
        <f t="shared" si="51"/>
        <v>8021.116549007665</v>
      </c>
      <c r="AY57" s="532">
        <f t="shared" si="39"/>
        <v>58</v>
      </c>
      <c r="AZ57" s="21"/>
      <c r="BA57" s="381"/>
      <c r="BB57" s="532"/>
      <c r="BC57" s="532"/>
      <c r="BD57" s="319"/>
      <c r="BE57" s="216"/>
      <c r="BF57" s="225"/>
      <c r="BG57" s="225"/>
      <c r="BH57" s="225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</row>
    <row r="58" spans="1:154" s="5" customFormat="1" ht="12.75">
      <c r="A58" s="126">
        <v>51</v>
      </c>
      <c r="B58" s="101" t="s">
        <v>351</v>
      </c>
      <c r="C58" s="101">
        <f>'Table 8 Membership, 2.1.09'!R55</f>
        <v>9141</v>
      </c>
      <c r="D58" s="101">
        <v>6379</v>
      </c>
      <c r="E58" s="101">
        <f t="shared" si="41"/>
        <v>1403</v>
      </c>
      <c r="F58" s="101">
        <v>3805.5</v>
      </c>
      <c r="G58" s="101">
        <f t="shared" si="42"/>
        <v>228</v>
      </c>
      <c r="H58" s="101">
        <v>1463</v>
      </c>
      <c r="I58" s="101">
        <f t="shared" si="11"/>
        <v>2195</v>
      </c>
      <c r="J58" s="101">
        <v>420</v>
      </c>
      <c r="K58" s="14">
        <f t="shared" si="12"/>
        <v>252</v>
      </c>
      <c r="L58" s="14">
        <f t="shared" si="43"/>
        <v>0</v>
      </c>
      <c r="M58" s="84">
        <f t="shared" si="44"/>
        <v>0</v>
      </c>
      <c r="N58" s="14">
        <f t="shared" si="45"/>
        <v>0</v>
      </c>
      <c r="O58" s="14">
        <f t="shared" si="13"/>
        <v>4078</v>
      </c>
      <c r="P58" s="43">
        <f t="shared" si="46"/>
        <v>13219</v>
      </c>
      <c r="Q58" s="519">
        <f t="shared" si="14"/>
        <v>3855</v>
      </c>
      <c r="R58" s="519">
        <f t="shared" si="47"/>
        <v>50959245</v>
      </c>
      <c r="S58" s="519">
        <f>'Table 6 (Local Deduct Calc.)'!J59</f>
        <v>16869492</v>
      </c>
      <c r="T58" s="519">
        <f t="shared" si="15"/>
        <v>16869492</v>
      </c>
      <c r="U58" s="520">
        <f t="shared" si="16"/>
        <v>34089753</v>
      </c>
      <c r="V58" s="521">
        <f t="shared" si="40"/>
        <v>0.669</v>
      </c>
      <c r="W58" s="521">
        <f t="shared" si="17"/>
        <v>0.331</v>
      </c>
      <c r="X58" s="522">
        <f t="shared" si="18"/>
        <v>1845.4755497210372</v>
      </c>
      <c r="Y58" s="519">
        <f>'Table 7 Local Revenue'!AQ58</f>
        <v>33263319</v>
      </c>
      <c r="Z58" s="519">
        <f t="shared" si="19"/>
        <v>16393827</v>
      </c>
      <c r="AA58" s="380">
        <f t="shared" si="20"/>
        <v>0</v>
      </c>
      <c r="AB58" s="15">
        <f t="shared" si="21"/>
        <v>17326143.3</v>
      </c>
      <c r="AC58" s="15">
        <f t="shared" si="22"/>
        <v>16393827</v>
      </c>
      <c r="AD58" s="519">
        <f t="shared" si="23"/>
        <v>9333333.58764</v>
      </c>
      <c r="AE58" s="523">
        <f t="shared" si="24"/>
        <v>7060493.4123599995</v>
      </c>
      <c r="AF58" s="17">
        <f t="shared" si="25"/>
        <v>0.4307</v>
      </c>
      <c r="AG58" s="523">
        <f t="shared" si="26"/>
        <v>41150246.41236</v>
      </c>
      <c r="AH58" s="15">
        <f t="shared" si="27"/>
        <v>4502</v>
      </c>
      <c r="AI58" s="523">
        <f>'Table 4 Level 3'!T56</f>
        <v>3428318</v>
      </c>
      <c r="AJ58" s="15">
        <f t="shared" si="48"/>
        <v>375.0484629690406</v>
      </c>
      <c r="AK58" s="523">
        <f t="shared" si="28"/>
        <v>44578564.41236</v>
      </c>
      <c r="AL58" s="15">
        <f t="shared" si="49"/>
        <v>4876.7710767268345</v>
      </c>
      <c r="AM58" s="869">
        <f>'Table 4 Level 3'!AG56</f>
        <v>7586467.489999999</v>
      </c>
      <c r="AN58" s="870">
        <f t="shared" si="30"/>
        <v>829.9384629690405</v>
      </c>
      <c r="AO58" s="523">
        <f t="shared" si="31"/>
        <v>48736713.90236</v>
      </c>
      <c r="AP58" s="15">
        <f t="shared" si="32"/>
        <v>5331.661076726835</v>
      </c>
      <c r="AQ58" s="17">
        <f t="shared" si="33"/>
        <v>0.5943499310590805</v>
      </c>
      <c r="AR58" s="524">
        <f t="shared" si="34"/>
        <v>46</v>
      </c>
      <c r="AS58" s="15">
        <f t="shared" si="35"/>
        <v>33263319</v>
      </c>
      <c r="AT58" s="15">
        <f t="shared" si="50"/>
        <v>3638.91</v>
      </c>
      <c r="AU58" s="524">
        <f t="shared" si="36"/>
        <v>22</v>
      </c>
      <c r="AV58" s="17">
        <f t="shared" si="37"/>
        <v>0.40565006894091954</v>
      </c>
      <c r="AW58" s="524">
        <f t="shared" si="38"/>
        <v>82000032.90235999</v>
      </c>
      <c r="AX58" s="525">
        <f t="shared" si="51"/>
        <v>8970.575746894212</v>
      </c>
      <c r="AY58" s="524">
        <f t="shared" si="39"/>
        <v>23</v>
      </c>
      <c r="AZ58" s="15"/>
      <c r="BA58" s="380"/>
      <c r="BB58" s="524"/>
      <c r="BC58" s="524"/>
      <c r="BD58" s="319"/>
      <c r="BE58" s="216"/>
      <c r="BF58" s="225"/>
      <c r="BG58" s="225"/>
      <c r="BH58" s="225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</row>
    <row r="59" spans="1:154" s="5" customFormat="1" ht="12.75">
      <c r="A59" s="126">
        <v>52</v>
      </c>
      <c r="B59" s="101" t="s">
        <v>352</v>
      </c>
      <c r="C59" s="101">
        <f>'Table 8 Membership, 2.1.09'!R56</f>
        <v>34853</v>
      </c>
      <c r="D59" s="101">
        <v>14679</v>
      </c>
      <c r="E59" s="101">
        <f t="shared" si="41"/>
        <v>3229</v>
      </c>
      <c r="F59" s="101">
        <v>15006</v>
      </c>
      <c r="G59" s="101">
        <f t="shared" si="42"/>
        <v>900</v>
      </c>
      <c r="H59" s="101">
        <v>6100</v>
      </c>
      <c r="I59" s="101">
        <f t="shared" si="11"/>
        <v>9150</v>
      </c>
      <c r="J59" s="101">
        <v>3098</v>
      </c>
      <c r="K59" s="14">
        <f t="shared" si="12"/>
        <v>1859</v>
      </c>
      <c r="L59" s="14">
        <f t="shared" si="43"/>
        <v>0</v>
      </c>
      <c r="M59" s="84">
        <f t="shared" si="44"/>
        <v>0</v>
      </c>
      <c r="N59" s="14">
        <f t="shared" si="45"/>
        <v>0</v>
      </c>
      <c r="O59" s="14">
        <f t="shared" si="13"/>
        <v>15138</v>
      </c>
      <c r="P59" s="14">
        <f t="shared" si="46"/>
        <v>49991</v>
      </c>
      <c r="Q59" s="519">
        <f t="shared" si="14"/>
        <v>3855</v>
      </c>
      <c r="R59" s="519">
        <f t="shared" si="47"/>
        <v>192715305</v>
      </c>
      <c r="S59" s="519">
        <f>'Table 6 (Local Deduct Calc.)'!J60</f>
        <v>64012610</v>
      </c>
      <c r="T59" s="519">
        <f t="shared" si="15"/>
        <v>64012610</v>
      </c>
      <c r="U59" s="520">
        <f t="shared" si="16"/>
        <v>128702695</v>
      </c>
      <c r="V59" s="521">
        <f t="shared" si="40"/>
        <v>0.6678</v>
      </c>
      <c r="W59" s="521">
        <f t="shared" si="17"/>
        <v>0.3322</v>
      </c>
      <c r="X59" s="522">
        <f t="shared" si="18"/>
        <v>1836.6456259145555</v>
      </c>
      <c r="Y59" s="519">
        <f>'Table 7 Local Revenue'!AQ59</f>
        <v>178417161</v>
      </c>
      <c r="Z59" s="519">
        <f t="shared" si="19"/>
        <v>114404551</v>
      </c>
      <c r="AA59" s="380">
        <f t="shared" si="20"/>
        <v>0</v>
      </c>
      <c r="AB59" s="15">
        <f t="shared" si="21"/>
        <v>65523203.7</v>
      </c>
      <c r="AC59" s="15">
        <f t="shared" si="22"/>
        <v>65523203.7</v>
      </c>
      <c r="AD59" s="519">
        <f t="shared" si="23"/>
        <v>37438910.222920805</v>
      </c>
      <c r="AE59" s="523">
        <f t="shared" si="24"/>
        <v>28084293.477079198</v>
      </c>
      <c r="AF59" s="17">
        <f t="shared" si="25"/>
        <v>0.4286</v>
      </c>
      <c r="AG59" s="523">
        <f t="shared" si="26"/>
        <v>156786988.4770792</v>
      </c>
      <c r="AH59" s="15">
        <f t="shared" si="27"/>
        <v>4499</v>
      </c>
      <c r="AI59" s="523">
        <f>'Table 4 Level 3'!T57</f>
        <v>12287853</v>
      </c>
      <c r="AJ59" s="15">
        <f t="shared" si="48"/>
        <v>352.56227584426017</v>
      </c>
      <c r="AK59" s="523">
        <f t="shared" si="28"/>
        <v>169074841.4770792</v>
      </c>
      <c r="AL59" s="15">
        <f t="shared" si="49"/>
        <v>4851.084310592466</v>
      </c>
      <c r="AM59" s="869">
        <f>'Table 4 Level 3'!AG57</f>
        <v>27262792.980000004</v>
      </c>
      <c r="AN59" s="870">
        <f t="shared" si="30"/>
        <v>782.2222758442603</v>
      </c>
      <c r="AO59" s="523">
        <f t="shared" si="31"/>
        <v>184049781.45707923</v>
      </c>
      <c r="AP59" s="15">
        <f t="shared" si="32"/>
        <v>5280.744310592467</v>
      </c>
      <c r="AQ59" s="17">
        <f t="shared" si="33"/>
        <v>0.5869203952588646</v>
      </c>
      <c r="AR59" s="524">
        <f t="shared" si="34"/>
        <v>48</v>
      </c>
      <c r="AS59" s="15">
        <f t="shared" si="35"/>
        <v>129535813.7</v>
      </c>
      <c r="AT59" s="15">
        <f t="shared" si="50"/>
        <v>3716.63</v>
      </c>
      <c r="AU59" s="524">
        <f t="shared" si="36"/>
        <v>21</v>
      </c>
      <c r="AV59" s="17">
        <f t="shared" si="37"/>
        <v>0.4130796047411355</v>
      </c>
      <c r="AW59" s="524">
        <f t="shared" si="38"/>
        <v>313585595.1570792</v>
      </c>
      <c r="AX59" s="525">
        <f t="shared" si="51"/>
        <v>8997.377418215912</v>
      </c>
      <c r="AY59" s="524">
        <f t="shared" si="39"/>
        <v>21</v>
      </c>
      <c r="AZ59" s="15"/>
      <c r="BA59" s="380"/>
      <c r="BB59" s="524"/>
      <c r="BC59" s="524"/>
      <c r="BD59" s="319"/>
      <c r="BE59" s="216"/>
      <c r="BF59" s="225"/>
      <c r="BG59" s="225"/>
      <c r="BH59" s="225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</row>
    <row r="60" spans="1:154" s="5" customFormat="1" ht="12.75">
      <c r="A60" s="126">
        <v>53</v>
      </c>
      <c r="B60" s="101" t="s">
        <v>353</v>
      </c>
      <c r="C60" s="101">
        <f>'Table 8 Membership, 2.1.09'!R57</f>
        <v>18597</v>
      </c>
      <c r="D60" s="101">
        <v>13243</v>
      </c>
      <c r="E60" s="101">
        <f t="shared" si="41"/>
        <v>2913</v>
      </c>
      <c r="F60" s="101">
        <v>5319</v>
      </c>
      <c r="G60" s="101">
        <f t="shared" si="42"/>
        <v>319</v>
      </c>
      <c r="H60" s="101">
        <v>2343</v>
      </c>
      <c r="I60" s="101">
        <f t="shared" si="11"/>
        <v>3515</v>
      </c>
      <c r="J60" s="101">
        <v>307</v>
      </c>
      <c r="K60" s="14">
        <f t="shared" si="12"/>
        <v>184</v>
      </c>
      <c r="L60" s="14">
        <f t="shared" si="43"/>
        <v>0</v>
      </c>
      <c r="M60" s="84">
        <f t="shared" si="44"/>
        <v>0</v>
      </c>
      <c r="N60" s="14">
        <f t="shared" si="45"/>
        <v>0</v>
      </c>
      <c r="O60" s="14">
        <f t="shared" si="13"/>
        <v>6931</v>
      </c>
      <c r="P60" s="14">
        <f t="shared" si="46"/>
        <v>25528</v>
      </c>
      <c r="Q60" s="519">
        <f t="shared" si="14"/>
        <v>3855</v>
      </c>
      <c r="R60" s="519">
        <f t="shared" si="47"/>
        <v>98410440</v>
      </c>
      <c r="S60" s="519">
        <f>'Table 6 (Local Deduct Calc.)'!J61</f>
        <v>22032505</v>
      </c>
      <c r="T60" s="519">
        <f t="shared" si="15"/>
        <v>22032505</v>
      </c>
      <c r="U60" s="520">
        <f t="shared" si="16"/>
        <v>76377935</v>
      </c>
      <c r="V60" s="521">
        <f t="shared" si="40"/>
        <v>0.7761</v>
      </c>
      <c r="W60" s="521">
        <f t="shared" si="17"/>
        <v>0.2239</v>
      </c>
      <c r="X60" s="522">
        <f t="shared" si="18"/>
        <v>1184.7343657579179</v>
      </c>
      <c r="Y60" s="519">
        <f>'Table 7 Local Revenue'!AQ60</f>
        <v>38736263</v>
      </c>
      <c r="Z60" s="519">
        <f t="shared" si="19"/>
        <v>16703758</v>
      </c>
      <c r="AA60" s="380">
        <f t="shared" si="20"/>
        <v>0</v>
      </c>
      <c r="AB60" s="15">
        <f t="shared" si="21"/>
        <v>33459549.6</v>
      </c>
      <c r="AC60" s="15">
        <f t="shared" si="22"/>
        <v>16703758</v>
      </c>
      <c r="AD60" s="519">
        <f t="shared" si="23"/>
        <v>6432750.835863999</v>
      </c>
      <c r="AE60" s="523">
        <f t="shared" si="24"/>
        <v>10271007.164136</v>
      </c>
      <c r="AF60" s="17">
        <f t="shared" si="25"/>
        <v>0.6149</v>
      </c>
      <c r="AG60" s="523">
        <f t="shared" si="26"/>
        <v>86648942.16413599</v>
      </c>
      <c r="AH60" s="15">
        <f t="shared" si="27"/>
        <v>4659</v>
      </c>
      <c r="AI60" s="523">
        <f>'Table 4 Level 3'!T58</f>
        <v>8264139</v>
      </c>
      <c r="AJ60" s="15">
        <f t="shared" si="48"/>
        <v>444.38022261655107</v>
      </c>
      <c r="AK60" s="523">
        <f t="shared" si="28"/>
        <v>94913081.16413599</v>
      </c>
      <c r="AL60" s="15">
        <f t="shared" si="49"/>
        <v>5103.676999738452</v>
      </c>
      <c r="AM60" s="869">
        <f>'Table 4 Level 3'!AG58</f>
        <v>15199704.180000002</v>
      </c>
      <c r="AN60" s="870">
        <f t="shared" si="30"/>
        <v>817.3202226165512</v>
      </c>
      <c r="AO60" s="523">
        <f t="shared" si="31"/>
        <v>101848646.344136</v>
      </c>
      <c r="AP60" s="15">
        <f t="shared" si="32"/>
        <v>5476.616999738452</v>
      </c>
      <c r="AQ60" s="17">
        <f t="shared" si="33"/>
        <v>0.7244635773447206</v>
      </c>
      <c r="AR60" s="524">
        <f t="shared" si="34"/>
        <v>17</v>
      </c>
      <c r="AS60" s="15">
        <f t="shared" si="35"/>
        <v>38736263</v>
      </c>
      <c r="AT60" s="15">
        <f t="shared" si="50"/>
        <v>2082.93</v>
      </c>
      <c r="AU60" s="524">
        <f t="shared" si="36"/>
        <v>57</v>
      </c>
      <c r="AV60" s="17">
        <f t="shared" si="37"/>
        <v>0.27553642265527944</v>
      </c>
      <c r="AW60" s="524">
        <f t="shared" si="38"/>
        <v>140584909.344136</v>
      </c>
      <c r="AX60" s="525">
        <f t="shared" si="51"/>
        <v>7559.547741255901</v>
      </c>
      <c r="AY60" s="524">
        <f t="shared" si="39"/>
        <v>63</v>
      </c>
      <c r="AZ60" s="15"/>
      <c r="BA60" s="380"/>
      <c r="BB60" s="524"/>
      <c r="BC60" s="524"/>
      <c r="BD60" s="319"/>
      <c r="BE60" s="216"/>
      <c r="BF60" s="225"/>
      <c r="BG60" s="225"/>
      <c r="BH60" s="225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</row>
    <row r="61" spans="1:154" s="5" customFormat="1" ht="12.75">
      <c r="A61" s="126">
        <v>54</v>
      </c>
      <c r="B61" s="101" t="s">
        <v>354</v>
      </c>
      <c r="C61" s="101">
        <f>'Table 8 Membership, 2.1.09'!R58</f>
        <v>716</v>
      </c>
      <c r="D61" s="101">
        <v>674</v>
      </c>
      <c r="E61" s="101">
        <f t="shared" si="41"/>
        <v>148</v>
      </c>
      <c r="F61" s="101">
        <v>249.5</v>
      </c>
      <c r="G61" s="101">
        <f t="shared" si="42"/>
        <v>15</v>
      </c>
      <c r="H61" s="101">
        <v>129</v>
      </c>
      <c r="I61" s="101">
        <f t="shared" si="11"/>
        <v>194</v>
      </c>
      <c r="J61" s="101">
        <v>23</v>
      </c>
      <c r="K61" s="14">
        <f t="shared" si="12"/>
        <v>14</v>
      </c>
      <c r="L61" s="14">
        <f t="shared" si="43"/>
        <v>6784</v>
      </c>
      <c r="M61" s="84">
        <f t="shared" si="44"/>
        <v>0.18091</v>
      </c>
      <c r="N61" s="14">
        <f t="shared" si="45"/>
        <v>130</v>
      </c>
      <c r="O61" s="14">
        <f t="shared" si="13"/>
        <v>501</v>
      </c>
      <c r="P61" s="14">
        <f t="shared" si="46"/>
        <v>1217</v>
      </c>
      <c r="Q61" s="519">
        <f t="shared" si="14"/>
        <v>3855</v>
      </c>
      <c r="R61" s="519">
        <f t="shared" si="47"/>
        <v>4691535</v>
      </c>
      <c r="S61" s="519">
        <f>'Table 6 (Local Deduct Calc.)'!J62</f>
        <v>1260627</v>
      </c>
      <c r="T61" s="519">
        <f t="shared" si="15"/>
        <v>1260627</v>
      </c>
      <c r="U61" s="520">
        <f t="shared" si="16"/>
        <v>3430908</v>
      </c>
      <c r="V61" s="521">
        <f t="shared" si="40"/>
        <v>0.7313</v>
      </c>
      <c r="W61" s="521">
        <f t="shared" si="17"/>
        <v>0.2687</v>
      </c>
      <c r="X61" s="522">
        <f t="shared" si="18"/>
        <v>1760.6522346368715</v>
      </c>
      <c r="Y61" s="519">
        <f>'Table 7 Local Revenue'!AQ61</f>
        <v>2107773</v>
      </c>
      <c r="Z61" s="519">
        <f t="shared" si="19"/>
        <v>847146</v>
      </c>
      <c r="AA61" s="380">
        <f t="shared" si="20"/>
        <v>0</v>
      </c>
      <c r="AB61" s="15">
        <f t="shared" si="21"/>
        <v>1595121.9000000001</v>
      </c>
      <c r="AC61" s="15">
        <f t="shared" si="22"/>
        <v>847146</v>
      </c>
      <c r="AD61" s="519">
        <f t="shared" si="23"/>
        <v>391520.38394399994</v>
      </c>
      <c r="AE61" s="523">
        <f t="shared" si="24"/>
        <v>455625.61605600006</v>
      </c>
      <c r="AF61" s="17">
        <f t="shared" si="25"/>
        <v>0.5378</v>
      </c>
      <c r="AG61" s="523">
        <f t="shared" si="26"/>
        <v>3886533.616056</v>
      </c>
      <c r="AH61" s="15">
        <f t="shared" si="27"/>
        <v>5428</v>
      </c>
      <c r="AI61" s="523">
        <f>'Table 4 Level 3'!T59</f>
        <v>404624</v>
      </c>
      <c r="AJ61" s="15">
        <f t="shared" si="48"/>
        <v>565.1173184357542</v>
      </c>
      <c r="AK61" s="523">
        <f t="shared" si="28"/>
        <v>4291157.616056</v>
      </c>
      <c r="AL61" s="15">
        <f t="shared" si="49"/>
        <v>5993.236893932961</v>
      </c>
      <c r="AM61" s="869">
        <f>'Table 4 Level 3'!AG59</f>
        <v>769504.76</v>
      </c>
      <c r="AN61" s="870">
        <f t="shared" si="30"/>
        <v>1074.7273184357541</v>
      </c>
      <c r="AO61" s="523">
        <f t="shared" si="31"/>
        <v>4656038.376056</v>
      </c>
      <c r="AP61" s="15">
        <f t="shared" si="32"/>
        <v>6502.8468939329605</v>
      </c>
      <c r="AQ61" s="17">
        <f t="shared" si="33"/>
        <v>0.6883749586126027</v>
      </c>
      <c r="AR61" s="524">
        <f t="shared" si="34"/>
        <v>29</v>
      </c>
      <c r="AS61" s="15">
        <f t="shared" si="35"/>
        <v>2107773</v>
      </c>
      <c r="AT61" s="15">
        <f t="shared" si="50"/>
        <v>2943.82</v>
      </c>
      <c r="AU61" s="524">
        <f t="shared" si="36"/>
        <v>39</v>
      </c>
      <c r="AV61" s="17">
        <f t="shared" si="37"/>
        <v>0.3116250413873974</v>
      </c>
      <c r="AW61" s="524">
        <f t="shared" si="38"/>
        <v>6763811.376056</v>
      </c>
      <c r="AX61" s="525">
        <f t="shared" si="51"/>
        <v>9446.663933039106</v>
      </c>
      <c r="AY61" s="524">
        <f t="shared" si="39"/>
        <v>11</v>
      </c>
      <c r="AZ61" s="15"/>
      <c r="BA61" s="380"/>
      <c r="BB61" s="524"/>
      <c r="BC61" s="524"/>
      <c r="BD61" s="319"/>
      <c r="BE61" s="216"/>
      <c r="BF61" s="225"/>
      <c r="BG61" s="225"/>
      <c r="BH61" s="225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</row>
    <row r="62" spans="1:154" s="22" customFormat="1" ht="12.75">
      <c r="A62" s="127">
        <v>55</v>
      </c>
      <c r="B62" s="102" t="s">
        <v>355</v>
      </c>
      <c r="C62" s="102">
        <f>'Table 8 Membership, 2.1.09'!R59</f>
        <v>17953</v>
      </c>
      <c r="D62" s="102">
        <v>10984</v>
      </c>
      <c r="E62" s="102">
        <f t="shared" si="41"/>
        <v>2416</v>
      </c>
      <c r="F62" s="102">
        <v>6540</v>
      </c>
      <c r="G62" s="102">
        <f t="shared" si="42"/>
        <v>392</v>
      </c>
      <c r="H62" s="102">
        <v>2363</v>
      </c>
      <c r="I62" s="102">
        <f t="shared" si="11"/>
        <v>3545</v>
      </c>
      <c r="J62" s="102">
        <v>785</v>
      </c>
      <c r="K62" s="20">
        <f t="shared" si="12"/>
        <v>471</v>
      </c>
      <c r="L62" s="20">
        <f t="shared" si="43"/>
        <v>0</v>
      </c>
      <c r="M62" s="85">
        <f t="shared" si="44"/>
        <v>0</v>
      </c>
      <c r="N62" s="20">
        <f t="shared" si="45"/>
        <v>0</v>
      </c>
      <c r="O62" s="20">
        <f t="shared" si="13"/>
        <v>6824</v>
      </c>
      <c r="P62" s="14">
        <f t="shared" si="46"/>
        <v>24777</v>
      </c>
      <c r="Q62" s="526">
        <f t="shared" si="14"/>
        <v>3855</v>
      </c>
      <c r="R62" s="526">
        <f t="shared" si="47"/>
        <v>95515335</v>
      </c>
      <c r="S62" s="526">
        <f>'Table 6 (Local Deduct Calc.)'!J63</f>
        <v>34046588</v>
      </c>
      <c r="T62" s="526">
        <f t="shared" si="15"/>
        <v>34046588</v>
      </c>
      <c r="U62" s="527">
        <f t="shared" si="16"/>
        <v>61468747</v>
      </c>
      <c r="V62" s="528">
        <f t="shared" si="40"/>
        <v>0.6435</v>
      </c>
      <c r="W62" s="529">
        <f t="shared" si="17"/>
        <v>0.3565</v>
      </c>
      <c r="X62" s="530">
        <f t="shared" si="18"/>
        <v>1896.4288976772684</v>
      </c>
      <c r="Y62" s="526">
        <f>'Table 7 Local Revenue'!AQ62</f>
        <v>57401925</v>
      </c>
      <c r="Z62" s="526">
        <f t="shared" si="19"/>
        <v>23355337</v>
      </c>
      <c r="AA62" s="381">
        <f t="shared" si="20"/>
        <v>0</v>
      </c>
      <c r="AB62" s="21">
        <f t="shared" si="21"/>
        <v>32475213.900000002</v>
      </c>
      <c r="AC62" s="21">
        <f t="shared" si="22"/>
        <v>23355337</v>
      </c>
      <c r="AD62" s="526">
        <f t="shared" si="23"/>
        <v>14321025.54166</v>
      </c>
      <c r="AE62" s="531">
        <f t="shared" si="24"/>
        <v>9034311.45834</v>
      </c>
      <c r="AF62" s="374">
        <f t="shared" si="25"/>
        <v>0.3868</v>
      </c>
      <c r="AG62" s="531">
        <f t="shared" si="26"/>
        <v>70503058.45834</v>
      </c>
      <c r="AH62" s="21">
        <f t="shared" si="27"/>
        <v>3927</v>
      </c>
      <c r="AI62" s="531">
        <f>'Table 4 Level 3'!T60</f>
        <v>8719025</v>
      </c>
      <c r="AJ62" s="21">
        <f t="shared" si="48"/>
        <v>485.65838578510557</v>
      </c>
      <c r="AK62" s="531">
        <f t="shared" si="28"/>
        <v>79222083.45834</v>
      </c>
      <c r="AL62" s="21">
        <f t="shared" si="49"/>
        <v>4412.749036837297</v>
      </c>
      <c r="AM62" s="871">
        <f>'Table 4 Level 3'!AG60</f>
        <v>16488365.280000001</v>
      </c>
      <c r="AN62" s="872">
        <f t="shared" si="30"/>
        <v>918.4183857851057</v>
      </c>
      <c r="AO62" s="531">
        <f t="shared" si="31"/>
        <v>86991423.73834</v>
      </c>
      <c r="AP62" s="21">
        <f t="shared" si="32"/>
        <v>4845.509036837298</v>
      </c>
      <c r="AQ62" s="374">
        <f t="shared" si="33"/>
        <v>0.602461432596733</v>
      </c>
      <c r="AR62" s="532">
        <f t="shared" si="34"/>
        <v>44</v>
      </c>
      <c r="AS62" s="21">
        <f t="shared" si="35"/>
        <v>57401925</v>
      </c>
      <c r="AT62" s="21">
        <f t="shared" si="50"/>
        <v>3197.34</v>
      </c>
      <c r="AU62" s="532">
        <f t="shared" si="36"/>
        <v>32</v>
      </c>
      <c r="AV62" s="374">
        <f t="shared" si="37"/>
        <v>0.3975385674032669</v>
      </c>
      <c r="AW62" s="532">
        <f t="shared" si="38"/>
        <v>144393348.73834002</v>
      </c>
      <c r="AX62" s="533">
        <f t="shared" si="51"/>
        <v>8042.853491803043</v>
      </c>
      <c r="AY62" s="532">
        <f t="shared" si="39"/>
        <v>57</v>
      </c>
      <c r="AZ62" s="21"/>
      <c r="BA62" s="381"/>
      <c r="BB62" s="532"/>
      <c r="BC62" s="532"/>
      <c r="BD62" s="319"/>
      <c r="BE62" s="216"/>
      <c r="BF62" s="225"/>
      <c r="BG62" s="225"/>
      <c r="BH62" s="225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</row>
    <row r="63" spans="1:154" s="5" customFormat="1" ht="12.75">
      <c r="A63" s="126">
        <v>56</v>
      </c>
      <c r="B63" s="101" t="s">
        <v>356</v>
      </c>
      <c r="C63" s="101">
        <f>'Table 8 Membership, 2.1.09'!R60</f>
        <v>2793</v>
      </c>
      <c r="D63" s="101">
        <v>2107</v>
      </c>
      <c r="E63" s="101">
        <f t="shared" si="41"/>
        <v>464</v>
      </c>
      <c r="F63" s="101">
        <v>734.5</v>
      </c>
      <c r="G63" s="101">
        <f t="shared" si="42"/>
        <v>44</v>
      </c>
      <c r="H63" s="101">
        <v>378</v>
      </c>
      <c r="I63" s="101">
        <f t="shared" si="11"/>
        <v>567</v>
      </c>
      <c r="J63" s="101">
        <v>21</v>
      </c>
      <c r="K63" s="14">
        <f t="shared" si="12"/>
        <v>13</v>
      </c>
      <c r="L63" s="14">
        <f t="shared" si="43"/>
        <v>4707</v>
      </c>
      <c r="M63" s="84">
        <f t="shared" si="44"/>
        <v>0.12552</v>
      </c>
      <c r="N63" s="14">
        <f t="shared" si="45"/>
        <v>351</v>
      </c>
      <c r="O63" s="14">
        <f t="shared" si="13"/>
        <v>1439</v>
      </c>
      <c r="P63" s="43">
        <f t="shared" si="46"/>
        <v>4232</v>
      </c>
      <c r="Q63" s="519">
        <f t="shared" si="14"/>
        <v>3855</v>
      </c>
      <c r="R63" s="519">
        <f t="shared" si="47"/>
        <v>16314360</v>
      </c>
      <c r="S63" s="519">
        <f>'Table 6 (Local Deduct Calc.)'!J64</f>
        <v>3895964</v>
      </c>
      <c r="T63" s="519">
        <f t="shared" si="15"/>
        <v>3895964</v>
      </c>
      <c r="U63" s="520">
        <f t="shared" si="16"/>
        <v>12418396</v>
      </c>
      <c r="V63" s="521">
        <f t="shared" si="40"/>
        <v>0.7612</v>
      </c>
      <c r="W63" s="521">
        <f t="shared" si="17"/>
        <v>0.2388</v>
      </c>
      <c r="X63" s="522">
        <f t="shared" si="18"/>
        <v>1394.9029717150017</v>
      </c>
      <c r="Y63" s="519">
        <f>'Table 7 Local Revenue'!AQ63</f>
        <v>6717285</v>
      </c>
      <c r="Z63" s="519">
        <f t="shared" si="19"/>
        <v>2821321</v>
      </c>
      <c r="AA63" s="380">
        <f t="shared" si="20"/>
        <v>0</v>
      </c>
      <c r="AB63" s="15">
        <f t="shared" si="21"/>
        <v>5546882.4</v>
      </c>
      <c r="AC63" s="15">
        <f t="shared" si="22"/>
        <v>2821321</v>
      </c>
      <c r="AD63" s="519">
        <f t="shared" si="23"/>
        <v>1158818.102256</v>
      </c>
      <c r="AE63" s="523">
        <f t="shared" si="24"/>
        <v>1662502.897744</v>
      </c>
      <c r="AF63" s="17">
        <f t="shared" si="25"/>
        <v>0.5893</v>
      </c>
      <c r="AG63" s="523">
        <f t="shared" si="26"/>
        <v>14080898.897744</v>
      </c>
      <c r="AH63" s="15">
        <f t="shared" si="27"/>
        <v>5041</v>
      </c>
      <c r="AI63" s="523">
        <f>'Table 4 Level 3'!T61</f>
        <v>1946883</v>
      </c>
      <c r="AJ63" s="15">
        <f t="shared" si="48"/>
        <v>697.0580021482277</v>
      </c>
      <c r="AK63" s="523">
        <f t="shared" si="28"/>
        <v>16027781.897744</v>
      </c>
      <c r="AL63" s="15">
        <f t="shared" si="49"/>
        <v>5738.554206138203</v>
      </c>
      <c r="AM63" s="869">
        <f>'Table 4 Level 3'!AG61</f>
        <v>3101062.32</v>
      </c>
      <c r="AN63" s="870">
        <f t="shared" si="30"/>
        <v>1110.2980021482276</v>
      </c>
      <c r="AO63" s="523">
        <f>AG63+AM63</f>
        <v>17181961.217744</v>
      </c>
      <c r="AP63" s="15">
        <f t="shared" si="32"/>
        <v>6151.794206138203</v>
      </c>
      <c r="AQ63" s="17">
        <f t="shared" si="33"/>
        <v>0.7189331856411124</v>
      </c>
      <c r="AR63" s="524">
        <f t="shared" si="34"/>
        <v>18</v>
      </c>
      <c r="AS63" s="15">
        <f t="shared" si="35"/>
        <v>6717285</v>
      </c>
      <c r="AT63" s="15">
        <f t="shared" si="50"/>
        <v>2405.04</v>
      </c>
      <c r="AU63" s="524">
        <f t="shared" si="36"/>
        <v>51</v>
      </c>
      <c r="AV63" s="17">
        <f t="shared" si="37"/>
        <v>0.28106681435888764</v>
      </c>
      <c r="AW63" s="524">
        <f t="shared" si="38"/>
        <v>23899246.217744</v>
      </c>
      <c r="AX63" s="525">
        <f t="shared" si="51"/>
        <v>8556.837170692446</v>
      </c>
      <c r="AY63" s="524">
        <f t="shared" si="39"/>
        <v>41</v>
      </c>
      <c r="AZ63" s="15"/>
      <c r="BA63" s="380"/>
      <c r="BB63" s="524"/>
      <c r="BC63" s="524"/>
      <c r="BD63" s="319"/>
      <c r="BE63" s="216"/>
      <c r="BF63" s="225"/>
      <c r="BG63" s="225"/>
      <c r="BH63" s="225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</row>
    <row r="64" spans="1:154" s="5" customFormat="1" ht="12.75">
      <c r="A64" s="126">
        <v>57</v>
      </c>
      <c r="B64" s="101" t="s">
        <v>357</v>
      </c>
      <c r="C64" s="101">
        <f>'Table 8 Membership, 2.1.09'!R61</f>
        <v>8578</v>
      </c>
      <c r="D64" s="101">
        <v>5014</v>
      </c>
      <c r="E64" s="101">
        <f t="shared" si="41"/>
        <v>1103</v>
      </c>
      <c r="F64" s="101">
        <v>2818</v>
      </c>
      <c r="G64" s="101">
        <f t="shared" si="42"/>
        <v>169</v>
      </c>
      <c r="H64" s="101">
        <v>1250</v>
      </c>
      <c r="I64" s="101">
        <f t="shared" si="11"/>
        <v>1875</v>
      </c>
      <c r="J64" s="101">
        <v>144</v>
      </c>
      <c r="K64" s="14">
        <f t="shared" si="12"/>
        <v>86</v>
      </c>
      <c r="L64" s="14">
        <f t="shared" si="43"/>
        <v>0</v>
      </c>
      <c r="M64" s="84">
        <f t="shared" si="44"/>
        <v>0</v>
      </c>
      <c r="N64" s="14">
        <f t="shared" si="45"/>
        <v>0</v>
      </c>
      <c r="O64" s="14">
        <f t="shared" si="13"/>
        <v>3233</v>
      </c>
      <c r="P64" s="14">
        <f t="shared" si="46"/>
        <v>11811</v>
      </c>
      <c r="Q64" s="519">
        <f t="shared" si="14"/>
        <v>3855</v>
      </c>
      <c r="R64" s="519">
        <f t="shared" si="47"/>
        <v>45531405</v>
      </c>
      <c r="S64" s="519">
        <f>'Table 6 (Local Deduct Calc.)'!J65</f>
        <v>16750963</v>
      </c>
      <c r="T64" s="519">
        <f t="shared" si="15"/>
        <v>16750963</v>
      </c>
      <c r="U64" s="520">
        <f t="shared" si="16"/>
        <v>28780442</v>
      </c>
      <c r="V64" s="521">
        <f t="shared" si="40"/>
        <v>0.6321</v>
      </c>
      <c r="W64" s="521">
        <f t="shared" si="17"/>
        <v>0.3679</v>
      </c>
      <c r="X64" s="522">
        <f t="shared" si="18"/>
        <v>1952.7818838890184</v>
      </c>
      <c r="Y64" s="519">
        <f>'Table 7 Local Revenue'!AQ64</f>
        <v>22610492</v>
      </c>
      <c r="Z64" s="519">
        <f t="shared" si="19"/>
        <v>5859529</v>
      </c>
      <c r="AA64" s="380">
        <f t="shared" si="20"/>
        <v>0</v>
      </c>
      <c r="AB64" s="15">
        <f t="shared" si="21"/>
        <v>15480677.700000001</v>
      </c>
      <c r="AC64" s="15">
        <f t="shared" si="22"/>
        <v>5859529</v>
      </c>
      <c r="AD64" s="519">
        <f t="shared" si="23"/>
        <v>3707839.636852</v>
      </c>
      <c r="AE64" s="523">
        <f t="shared" si="24"/>
        <v>2151689.363148</v>
      </c>
      <c r="AF64" s="17">
        <f t="shared" si="25"/>
        <v>0.3672</v>
      </c>
      <c r="AG64" s="523">
        <f t="shared" si="26"/>
        <v>30932131.363148</v>
      </c>
      <c r="AH64" s="15">
        <f t="shared" si="27"/>
        <v>3606</v>
      </c>
      <c r="AI64" s="523">
        <f>'Table 4 Level 3'!T62</f>
        <v>4205351</v>
      </c>
      <c r="AJ64" s="15">
        <f t="shared" si="48"/>
        <v>490.24842620657495</v>
      </c>
      <c r="AK64" s="523">
        <f t="shared" si="28"/>
        <v>35137482.363148004</v>
      </c>
      <c r="AL64" s="15">
        <f t="shared" si="49"/>
        <v>4096.232497452554</v>
      </c>
      <c r="AM64" s="869">
        <f>'Table 4 Level 3'!AG62</f>
        <v>7615449.12</v>
      </c>
      <c r="AN64" s="870">
        <f t="shared" si="30"/>
        <v>887.788426206575</v>
      </c>
      <c r="AO64" s="523">
        <f t="shared" si="31"/>
        <v>38547580.483148</v>
      </c>
      <c r="AP64" s="15">
        <f t="shared" si="32"/>
        <v>4493.772497452554</v>
      </c>
      <c r="AQ64" s="17">
        <f t="shared" si="33"/>
        <v>0.630294234563552</v>
      </c>
      <c r="AR64" s="524">
        <f t="shared" si="34"/>
        <v>42</v>
      </c>
      <c r="AS64" s="15">
        <f t="shared" si="35"/>
        <v>22610492</v>
      </c>
      <c r="AT64" s="15">
        <f t="shared" si="50"/>
        <v>2635.87</v>
      </c>
      <c r="AU64" s="524">
        <f t="shared" si="36"/>
        <v>46</v>
      </c>
      <c r="AV64" s="17">
        <f t="shared" si="37"/>
        <v>0.369705765436448</v>
      </c>
      <c r="AW64" s="524">
        <f t="shared" si="38"/>
        <v>61158072.483148</v>
      </c>
      <c r="AX64" s="525">
        <f t="shared" si="51"/>
        <v>7129.642397196083</v>
      </c>
      <c r="AY64" s="524">
        <f t="shared" si="39"/>
        <v>68</v>
      </c>
      <c r="AZ64" s="15"/>
      <c r="BA64" s="380"/>
      <c r="BB64" s="524"/>
      <c r="BC64" s="524"/>
      <c r="BD64" s="319"/>
      <c r="BE64" s="216"/>
      <c r="BF64" s="225"/>
      <c r="BG64" s="225"/>
      <c r="BH64" s="225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</row>
    <row r="65" spans="1:154" s="5" customFormat="1" ht="12.75">
      <c r="A65" s="126">
        <v>58</v>
      </c>
      <c r="B65" s="101" t="s">
        <v>358</v>
      </c>
      <c r="C65" s="101">
        <f>'Table 8 Membership, 2.1.09'!R62</f>
        <v>9107</v>
      </c>
      <c r="D65" s="101">
        <v>5040</v>
      </c>
      <c r="E65" s="101">
        <f t="shared" si="41"/>
        <v>1109</v>
      </c>
      <c r="F65" s="101">
        <v>2541.5</v>
      </c>
      <c r="G65" s="101">
        <f t="shared" si="42"/>
        <v>152</v>
      </c>
      <c r="H65" s="101">
        <v>1347</v>
      </c>
      <c r="I65" s="101">
        <f t="shared" si="11"/>
        <v>2021</v>
      </c>
      <c r="J65" s="101">
        <v>333</v>
      </c>
      <c r="K65" s="14">
        <f t="shared" si="12"/>
        <v>200</v>
      </c>
      <c r="L65" s="14">
        <f t="shared" si="43"/>
        <v>0</v>
      </c>
      <c r="M65" s="84">
        <f t="shared" si="44"/>
        <v>0</v>
      </c>
      <c r="N65" s="14">
        <f t="shared" si="45"/>
        <v>0</v>
      </c>
      <c r="O65" s="14">
        <f t="shared" si="13"/>
        <v>3482</v>
      </c>
      <c r="P65" s="14">
        <f t="shared" si="46"/>
        <v>12589</v>
      </c>
      <c r="Q65" s="519">
        <f t="shared" si="14"/>
        <v>3855</v>
      </c>
      <c r="R65" s="519">
        <f t="shared" si="47"/>
        <v>48530595</v>
      </c>
      <c r="S65" s="519">
        <f>'Table 6 (Local Deduct Calc.)'!J66</f>
        <v>6831869</v>
      </c>
      <c r="T65" s="519">
        <f t="shared" si="15"/>
        <v>6831869</v>
      </c>
      <c r="U65" s="520">
        <f t="shared" si="16"/>
        <v>41698726</v>
      </c>
      <c r="V65" s="521">
        <f t="shared" si="40"/>
        <v>0.8592</v>
      </c>
      <c r="W65" s="521">
        <f t="shared" si="17"/>
        <v>0.1408</v>
      </c>
      <c r="X65" s="522">
        <f t="shared" si="18"/>
        <v>750.1777753376524</v>
      </c>
      <c r="Y65" s="519">
        <f>'Table 7 Local Revenue'!AQ65</f>
        <v>15179081</v>
      </c>
      <c r="Z65" s="519">
        <f t="shared" si="19"/>
        <v>8347212</v>
      </c>
      <c r="AA65" s="380">
        <f t="shared" si="20"/>
        <v>0</v>
      </c>
      <c r="AB65" s="15">
        <f t="shared" si="21"/>
        <v>16500402.3</v>
      </c>
      <c r="AC65" s="15">
        <f t="shared" si="22"/>
        <v>8347212</v>
      </c>
      <c r="AD65" s="519">
        <f t="shared" si="23"/>
        <v>2021494.413312</v>
      </c>
      <c r="AE65" s="523">
        <f t="shared" si="24"/>
        <v>6325717.586688</v>
      </c>
      <c r="AF65" s="17">
        <f t="shared" si="25"/>
        <v>0.7578</v>
      </c>
      <c r="AG65" s="523">
        <f t="shared" si="26"/>
        <v>48024443.586688</v>
      </c>
      <c r="AH65" s="15">
        <f t="shared" si="27"/>
        <v>5273</v>
      </c>
      <c r="AI65" s="523">
        <f>'Table 4 Level 3'!T63</f>
        <v>4565801</v>
      </c>
      <c r="AJ65" s="15">
        <f t="shared" si="48"/>
        <v>501.35071922696824</v>
      </c>
      <c r="AK65" s="523">
        <f t="shared" si="28"/>
        <v>52590244.586688</v>
      </c>
      <c r="AL65" s="15">
        <f t="shared" si="49"/>
        <v>5774.705675490062</v>
      </c>
      <c r="AM65" s="869">
        <f>'Table 4 Level 3'!AG63</f>
        <v>7510640.52</v>
      </c>
      <c r="AN65" s="870">
        <f t="shared" si="30"/>
        <v>824.7107192269682</v>
      </c>
      <c r="AO65" s="523">
        <f t="shared" si="31"/>
        <v>55535084.10668799</v>
      </c>
      <c r="AP65" s="15">
        <f t="shared" si="32"/>
        <v>6098.065675490062</v>
      </c>
      <c r="AQ65" s="17">
        <f t="shared" si="33"/>
        <v>0.7853459631871635</v>
      </c>
      <c r="AR65" s="524">
        <f t="shared" si="34"/>
        <v>5</v>
      </c>
      <c r="AS65" s="15">
        <f t="shared" si="35"/>
        <v>15179081</v>
      </c>
      <c r="AT65" s="15">
        <f t="shared" si="50"/>
        <v>1666.75</v>
      </c>
      <c r="AU65" s="524">
        <f t="shared" si="36"/>
        <v>65</v>
      </c>
      <c r="AV65" s="17">
        <f t="shared" si="37"/>
        <v>0.21465403681283646</v>
      </c>
      <c r="AW65" s="524">
        <f t="shared" si="38"/>
        <v>70714165.106688</v>
      </c>
      <c r="AX65" s="525">
        <f t="shared" si="51"/>
        <v>7764.814440176567</v>
      </c>
      <c r="AY65" s="524">
        <f t="shared" si="39"/>
        <v>62</v>
      </c>
      <c r="AZ65" s="15"/>
      <c r="BA65" s="380"/>
      <c r="BB65" s="524"/>
      <c r="BC65" s="524"/>
      <c r="BD65" s="319"/>
      <c r="BE65" s="216"/>
      <c r="BF65" s="225"/>
      <c r="BG65" s="225"/>
      <c r="BH65" s="22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</row>
    <row r="66" spans="1:154" s="5" customFormat="1" ht="12.75">
      <c r="A66" s="126">
        <v>59</v>
      </c>
      <c r="B66" s="101" t="s">
        <v>359</v>
      </c>
      <c r="C66" s="101">
        <f>'Table 8 Membership, 2.1.09'!R63</f>
        <v>5043</v>
      </c>
      <c r="D66" s="101">
        <v>4181</v>
      </c>
      <c r="E66" s="101">
        <f t="shared" si="41"/>
        <v>920</v>
      </c>
      <c r="F66" s="101">
        <v>1772</v>
      </c>
      <c r="G66" s="101">
        <f t="shared" si="42"/>
        <v>106</v>
      </c>
      <c r="H66" s="101">
        <v>839</v>
      </c>
      <c r="I66" s="101">
        <f t="shared" si="11"/>
        <v>1259</v>
      </c>
      <c r="J66" s="101">
        <v>268</v>
      </c>
      <c r="K66" s="14">
        <f t="shared" si="12"/>
        <v>161</v>
      </c>
      <c r="L66" s="14">
        <f t="shared" si="43"/>
        <v>2457</v>
      </c>
      <c r="M66" s="84">
        <f t="shared" si="44"/>
        <v>0.06552</v>
      </c>
      <c r="N66" s="14">
        <f t="shared" si="45"/>
        <v>330</v>
      </c>
      <c r="O66" s="14">
        <f t="shared" si="13"/>
        <v>2776</v>
      </c>
      <c r="P66" s="14">
        <f t="shared" si="46"/>
        <v>7819</v>
      </c>
      <c r="Q66" s="519">
        <f t="shared" si="14"/>
        <v>3855</v>
      </c>
      <c r="R66" s="519">
        <f t="shared" si="47"/>
        <v>30142245</v>
      </c>
      <c r="S66" s="519">
        <f>'Table 6 (Local Deduct Calc.)'!J67</f>
        <v>3546418</v>
      </c>
      <c r="T66" s="519">
        <f t="shared" si="15"/>
        <v>3546418</v>
      </c>
      <c r="U66" s="520">
        <f t="shared" si="16"/>
        <v>26595827</v>
      </c>
      <c r="V66" s="521">
        <f t="shared" si="40"/>
        <v>0.8823</v>
      </c>
      <c r="W66" s="521">
        <f t="shared" si="17"/>
        <v>0.1177</v>
      </c>
      <c r="X66" s="522">
        <f t="shared" si="18"/>
        <v>703.2357723577236</v>
      </c>
      <c r="Y66" s="519">
        <f>'Table 7 Local Revenue'!AQ66</f>
        <v>8389281</v>
      </c>
      <c r="Z66" s="519">
        <f t="shared" si="19"/>
        <v>4842863</v>
      </c>
      <c r="AA66" s="380">
        <f t="shared" si="20"/>
        <v>0</v>
      </c>
      <c r="AB66" s="15">
        <f t="shared" si="21"/>
        <v>10248363.3</v>
      </c>
      <c r="AC66" s="15">
        <f t="shared" si="22"/>
        <v>4842863</v>
      </c>
      <c r="AD66" s="519">
        <f t="shared" si="23"/>
        <v>980408.557172</v>
      </c>
      <c r="AE66" s="523">
        <f t="shared" si="24"/>
        <v>3862454.442828</v>
      </c>
      <c r="AF66" s="17">
        <f t="shared" si="25"/>
        <v>0.7976</v>
      </c>
      <c r="AG66" s="523">
        <f t="shared" si="26"/>
        <v>30458281.442828</v>
      </c>
      <c r="AH66" s="15">
        <f t="shared" si="27"/>
        <v>6040</v>
      </c>
      <c r="AI66" s="523">
        <f>'Table 4 Level 3'!T64</f>
        <v>2408579</v>
      </c>
      <c r="AJ66" s="15">
        <f t="shared" si="48"/>
        <v>477.60836803489985</v>
      </c>
      <c r="AK66" s="523">
        <f t="shared" si="28"/>
        <v>32866860.442828</v>
      </c>
      <c r="AL66" s="15">
        <f t="shared" si="49"/>
        <v>6517.323109821138</v>
      </c>
      <c r="AM66" s="869">
        <f>'Table 4 Level 3'!AG64</f>
        <v>4098942.17</v>
      </c>
      <c r="AN66" s="870">
        <f t="shared" si="30"/>
        <v>812.7983680348998</v>
      </c>
      <c r="AO66" s="523">
        <f t="shared" si="31"/>
        <v>34557223.612828</v>
      </c>
      <c r="AP66" s="15">
        <f t="shared" si="32"/>
        <v>6852.513109821139</v>
      </c>
      <c r="AQ66" s="17">
        <f t="shared" si="33"/>
        <v>0.8046574203039065</v>
      </c>
      <c r="AR66" s="524">
        <f t="shared" si="34"/>
        <v>4</v>
      </c>
      <c r="AS66" s="15">
        <f t="shared" si="35"/>
        <v>8389281</v>
      </c>
      <c r="AT66" s="15">
        <f t="shared" si="50"/>
        <v>1663.55</v>
      </c>
      <c r="AU66" s="524">
        <f t="shared" si="36"/>
        <v>66</v>
      </c>
      <c r="AV66" s="17">
        <f t="shared" si="37"/>
        <v>0.19534257969609348</v>
      </c>
      <c r="AW66" s="524">
        <f t="shared" si="38"/>
        <v>42946504.612828</v>
      </c>
      <c r="AX66" s="525">
        <f t="shared" si="51"/>
        <v>8516.06278263494</v>
      </c>
      <c r="AY66" s="524">
        <f t="shared" si="39"/>
        <v>44</v>
      </c>
      <c r="AZ66" s="15"/>
      <c r="BA66" s="380"/>
      <c r="BB66" s="524"/>
      <c r="BC66" s="524"/>
      <c r="BD66" s="319"/>
      <c r="BE66" s="216"/>
      <c r="BF66" s="225"/>
      <c r="BG66" s="225"/>
      <c r="BH66" s="225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</row>
    <row r="67" spans="1:154" s="22" customFormat="1" ht="12.75">
      <c r="A67" s="127">
        <v>60</v>
      </c>
      <c r="B67" s="102" t="s">
        <v>360</v>
      </c>
      <c r="C67" s="102">
        <f>'Table 8 Membership, 2.1.09'!R64</f>
        <v>6912</v>
      </c>
      <c r="D67" s="102">
        <v>4316</v>
      </c>
      <c r="E67" s="102">
        <f t="shared" si="41"/>
        <v>950</v>
      </c>
      <c r="F67" s="102">
        <v>1929.5</v>
      </c>
      <c r="G67" s="102">
        <f t="shared" si="42"/>
        <v>116</v>
      </c>
      <c r="H67" s="102">
        <v>859</v>
      </c>
      <c r="I67" s="102">
        <f t="shared" si="11"/>
        <v>1289</v>
      </c>
      <c r="J67" s="102">
        <v>202</v>
      </c>
      <c r="K67" s="20">
        <f t="shared" si="12"/>
        <v>121</v>
      </c>
      <c r="L67" s="20">
        <f t="shared" si="43"/>
        <v>588</v>
      </c>
      <c r="M67" s="85">
        <f t="shared" si="44"/>
        <v>0.01568</v>
      </c>
      <c r="N67" s="20">
        <f t="shared" si="45"/>
        <v>108</v>
      </c>
      <c r="O67" s="20">
        <f t="shared" si="13"/>
        <v>2584</v>
      </c>
      <c r="P67" s="14">
        <f t="shared" si="46"/>
        <v>9496</v>
      </c>
      <c r="Q67" s="526">
        <f t="shared" si="14"/>
        <v>3855</v>
      </c>
      <c r="R67" s="526">
        <f t="shared" si="47"/>
        <v>36607080</v>
      </c>
      <c r="S67" s="526">
        <f>'Table 6 (Local Deduct Calc.)'!J68</f>
        <v>9329955</v>
      </c>
      <c r="T67" s="526">
        <f t="shared" si="15"/>
        <v>9329955</v>
      </c>
      <c r="U67" s="527">
        <f t="shared" si="16"/>
        <v>27277125</v>
      </c>
      <c r="V67" s="528">
        <f t="shared" si="40"/>
        <v>0.7451</v>
      </c>
      <c r="W67" s="529">
        <f t="shared" si="17"/>
        <v>0.2549</v>
      </c>
      <c r="X67" s="530">
        <f t="shared" si="18"/>
        <v>1349.8198784722222</v>
      </c>
      <c r="Y67" s="526">
        <f>'Table 7 Local Revenue'!AQ67</f>
        <v>22775103</v>
      </c>
      <c r="Z67" s="526">
        <f t="shared" si="19"/>
        <v>13445148</v>
      </c>
      <c r="AA67" s="381">
        <f t="shared" si="20"/>
        <v>0</v>
      </c>
      <c r="AB67" s="21">
        <f t="shared" si="21"/>
        <v>12446407.200000001</v>
      </c>
      <c r="AC67" s="21">
        <f t="shared" si="22"/>
        <v>12446407.200000001</v>
      </c>
      <c r="AD67" s="526">
        <f t="shared" si="23"/>
        <v>5456853.415881601</v>
      </c>
      <c r="AE67" s="531">
        <f t="shared" si="24"/>
        <v>6989553.7841184</v>
      </c>
      <c r="AF67" s="374">
        <f t="shared" si="25"/>
        <v>0.5616</v>
      </c>
      <c r="AG67" s="531">
        <f t="shared" si="26"/>
        <v>34266678.7841184</v>
      </c>
      <c r="AH67" s="21">
        <f t="shared" si="27"/>
        <v>4958</v>
      </c>
      <c r="AI67" s="531">
        <f>'Table 4 Level 3'!T65</f>
        <v>2318481</v>
      </c>
      <c r="AJ67" s="21">
        <f t="shared" si="48"/>
        <v>335.4283854166667</v>
      </c>
      <c r="AK67" s="531">
        <f t="shared" si="28"/>
        <v>36585159.7841184</v>
      </c>
      <c r="AL67" s="21">
        <f t="shared" si="49"/>
        <v>5292.991866915278</v>
      </c>
      <c r="AM67" s="871">
        <f>'Table 4 Level 3'!AG65</f>
        <v>4958104.68</v>
      </c>
      <c r="AN67" s="872">
        <f t="shared" si="30"/>
        <v>717.3183854166666</v>
      </c>
      <c r="AO67" s="531">
        <f t="shared" si="31"/>
        <v>39224783.4641184</v>
      </c>
      <c r="AP67" s="21">
        <f t="shared" si="32"/>
        <v>5674.881866915278</v>
      </c>
      <c r="AQ67" s="374">
        <f t="shared" si="33"/>
        <v>0.6430171603677091</v>
      </c>
      <c r="AR67" s="532">
        <f t="shared" si="34"/>
        <v>39</v>
      </c>
      <c r="AS67" s="21">
        <f t="shared" si="35"/>
        <v>21776362.2</v>
      </c>
      <c r="AT67" s="21">
        <f t="shared" si="50"/>
        <v>3150.52</v>
      </c>
      <c r="AU67" s="532">
        <f t="shared" si="36"/>
        <v>34</v>
      </c>
      <c r="AV67" s="374">
        <f t="shared" si="37"/>
        <v>0.356982839632291</v>
      </c>
      <c r="AW67" s="532">
        <f t="shared" si="38"/>
        <v>61001145.664118394</v>
      </c>
      <c r="AX67" s="533">
        <f t="shared" si="51"/>
        <v>8825.39723149861</v>
      </c>
      <c r="AY67" s="532">
        <f t="shared" si="39"/>
        <v>28</v>
      </c>
      <c r="AZ67" s="21"/>
      <c r="BA67" s="381"/>
      <c r="BB67" s="532"/>
      <c r="BC67" s="532"/>
      <c r="BD67" s="319"/>
      <c r="BE67" s="216"/>
      <c r="BF67" s="225"/>
      <c r="BG67" s="225"/>
      <c r="BH67" s="225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</row>
    <row r="68" spans="1:154" s="5" customFormat="1" ht="12.75">
      <c r="A68" s="126">
        <v>61</v>
      </c>
      <c r="B68" s="101" t="s">
        <v>361</v>
      </c>
      <c r="C68" s="101">
        <f>'Table 8 Membership, 2.1.09'!R65</f>
        <v>3464</v>
      </c>
      <c r="D68" s="101">
        <v>2218</v>
      </c>
      <c r="E68" s="101">
        <f t="shared" si="41"/>
        <v>488</v>
      </c>
      <c r="F68" s="101">
        <v>1086.5</v>
      </c>
      <c r="G68" s="101">
        <f t="shared" si="42"/>
        <v>65</v>
      </c>
      <c r="H68" s="101">
        <v>420</v>
      </c>
      <c r="I68" s="101">
        <f t="shared" si="11"/>
        <v>630</v>
      </c>
      <c r="J68" s="101">
        <v>134</v>
      </c>
      <c r="K68" s="14">
        <f t="shared" si="12"/>
        <v>80</v>
      </c>
      <c r="L68" s="14">
        <f t="shared" si="43"/>
        <v>4036</v>
      </c>
      <c r="M68" s="84">
        <f t="shared" si="44"/>
        <v>0.10763</v>
      </c>
      <c r="N68" s="14">
        <f t="shared" si="45"/>
        <v>373</v>
      </c>
      <c r="O68" s="14">
        <f t="shared" si="13"/>
        <v>1636</v>
      </c>
      <c r="P68" s="43">
        <f t="shared" si="46"/>
        <v>5100</v>
      </c>
      <c r="Q68" s="519">
        <f t="shared" si="14"/>
        <v>3855</v>
      </c>
      <c r="R68" s="519">
        <f t="shared" si="47"/>
        <v>19660500</v>
      </c>
      <c r="S68" s="519">
        <f>'Table 6 (Local Deduct Calc.)'!J69</f>
        <v>10248553</v>
      </c>
      <c r="T68" s="519">
        <f t="shared" si="15"/>
        <v>10248553</v>
      </c>
      <c r="U68" s="520">
        <f t="shared" si="16"/>
        <v>9411947</v>
      </c>
      <c r="V68" s="521">
        <f t="shared" si="40"/>
        <v>0.4787</v>
      </c>
      <c r="W68" s="521">
        <f t="shared" si="17"/>
        <v>0.5213</v>
      </c>
      <c r="X68" s="522">
        <f t="shared" si="18"/>
        <v>2958.5892032332563</v>
      </c>
      <c r="Y68" s="519">
        <f>'Table 7 Local Revenue'!AQ68</f>
        <v>22190446</v>
      </c>
      <c r="Z68" s="519">
        <f t="shared" si="19"/>
        <v>11941893</v>
      </c>
      <c r="AA68" s="380">
        <f t="shared" si="20"/>
        <v>0</v>
      </c>
      <c r="AB68" s="15">
        <f t="shared" si="21"/>
        <v>6684570.000000001</v>
      </c>
      <c r="AC68" s="15">
        <f t="shared" si="22"/>
        <v>6684570.000000001</v>
      </c>
      <c r="AD68" s="519">
        <f t="shared" si="23"/>
        <v>5993626.106520001</v>
      </c>
      <c r="AE68" s="523">
        <f t="shared" si="24"/>
        <v>690943.8934800001</v>
      </c>
      <c r="AF68" s="17">
        <f t="shared" si="25"/>
        <v>0.1034</v>
      </c>
      <c r="AG68" s="523">
        <f t="shared" si="26"/>
        <v>10102890.89348</v>
      </c>
      <c r="AH68" s="15">
        <f t="shared" si="27"/>
        <v>2917</v>
      </c>
      <c r="AI68" s="523">
        <f>'Table 4 Level 3'!T66</f>
        <v>1761784</v>
      </c>
      <c r="AJ68" s="15">
        <f t="shared" si="48"/>
        <v>508.59815242494227</v>
      </c>
      <c r="AK68" s="523">
        <f t="shared" si="28"/>
        <v>11864674.89348</v>
      </c>
      <c r="AL68" s="15">
        <f t="shared" si="49"/>
        <v>3425.1370939607386</v>
      </c>
      <c r="AM68" s="869">
        <f>'Table 4 Level 3'!AG66</f>
        <v>3315006.96</v>
      </c>
      <c r="AN68" s="870">
        <f t="shared" si="30"/>
        <v>956.9881524249422</v>
      </c>
      <c r="AO68" s="523">
        <f t="shared" si="31"/>
        <v>13417897.85348</v>
      </c>
      <c r="AP68" s="15">
        <f t="shared" si="32"/>
        <v>3873.527093960739</v>
      </c>
      <c r="AQ68" s="17">
        <f t="shared" si="33"/>
        <v>0.44209049567904485</v>
      </c>
      <c r="AR68" s="524">
        <f t="shared" si="34"/>
        <v>63</v>
      </c>
      <c r="AS68" s="15">
        <f t="shared" si="35"/>
        <v>16933123</v>
      </c>
      <c r="AT68" s="15">
        <f t="shared" si="50"/>
        <v>4888.31</v>
      </c>
      <c r="AU68" s="524">
        <f t="shared" si="36"/>
        <v>8</v>
      </c>
      <c r="AV68" s="17">
        <f t="shared" si="37"/>
        <v>0.5579095043209551</v>
      </c>
      <c r="AW68" s="524">
        <f t="shared" si="38"/>
        <v>30351020.85348</v>
      </c>
      <c r="AX68" s="525">
        <f t="shared" si="51"/>
        <v>8761.842047771363</v>
      </c>
      <c r="AY68" s="524">
        <f t="shared" si="39"/>
        <v>32</v>
      </c>
      <c r="AZ68" s="15"/>
      <c r="BA68" s="380"/>
      <c r="BB68" s="524"/>
      <c r="BC68" s="524"/>
      <c r="BD68" s="319"/>
      <c r="BE68" s="216"/>
      <c r="BF68" s="225"/>
      <c r="BG68" s="225"/>
      <c r="BH68" s="225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</row>
    <row r="69" spans="1:154" s="5" customFormat="1" ht="12.75">
      <c r="A69" s="126">
        <v>62</v>
      </c>
      <c r="B69" s="101" t="s">
        <v>362</v>
      </c>
      <c r="C69" s="101">
        <f>'Table 8 Membership, 2.1.09'!R66</f>
        <v>2108</v>
      </c>
      <c r="D69" s="101">
        <v>1485</v>
      </c>
      <c r="E69" s="101">
        <f t="shared" si="41"/>
        <v>327</v>
      </c>
      <c r="F69" s="101">
        <v>919.5</v>
      </c>
      <c r="G69" s="101">
        <f t="shared" si="42"/>
        <v>55</v>
      </c>
      <c r="H69" s="101">
        <v>249</v>
      </c>
      <c r="I69" s="101">
        <f t="shared" si="11"/>
        <v>374</v>
      </c>
      <c r="J69" s="101">
        <v>32</v>
      </c>
      <c r="K69" s="14">
        <f t="shared" si="12"/>
        <v>19</v>
      </c>
      <c r="L69" s="14">
        <f t="shared" si="43"/>
        <v>5392</v>
      </c>
      <c r="M69" s="84">
        <f t="shared" si="44"/>
        <v>0.14379</v>
      </c>
      <c r="N69" s="14">
        <f t="shared" si="45"/>
        <v>303</v>
      </c>
      <c r="O69" s="14">
        <f t="shared" si="13"/>
        <v>1078</v>
      </c>
      <c r="P69" s="14">
        <f t="shared" si="46"/>
        <v>3186</v>
      </c>
      <c r="Q69" s="519">
        <f t="shared" si="14"/>
        <v>3855</v>
      </c>
      <c r="R69" s="519">
        <f t="shared" si="47"/>
        <v>12282030</v>
      </c>
      <c r="S69" s="519">
        <f>'Table 6 (Local Deduct Calc.)'!J70</f>
        <v>1997599</v>
      </c>
      <c r="T69" s="519">
        <f t="shared" si="15"/>
        <v>1997599</v>
      </c>
      <c r="U69" s="520">
        <f t="shared" si="16"/>
        <v>10284431</v>
      </c>
      <c r="V69" s="521">
        <f t="shared" si="40"/>
        <v>0.8374</v>
      </c>
      <c r="W69" s="521">
        <f t="shared" si="17"/>
        <v>0.1626</v>
      </c>
      <c r="X69" s="522">
        <f t="shared" si="18"/>
        <v>947.6276091081594</v>
      </c>
      <c r="Y69" s="519">
        <f>'Table 7 Local Revenue'!AQ69</f>
        <v>3734971</v>
      </c>
      <c r="Z69" s="519">
        <f t="shared" si="19"/>
        <v>1737372</v>
      </c>
      <c r="AA69" s="380">
        <f t="shared" si="20"/>
        <v>0</v>
      </c>
      <c r="AB69" s="15">
        <f t="shared" si="21"/>
        <v>4175890.2</v>
      </c>
      <c r="AC69" s="15">
        <f t="shared" si="22"/>
        <v>1737372</v>
      </c>
      <c r="AD69" s="519">
        <f t="shared" si="23"/>
        <v>485894.30198399996</v>
      </c>
      <c r="AE69" s="523">
        <f t="shared" si="24"/>
        <v>1251477.698016</v>
      </c>
      <c r="AF69" s="17">
        <f t="shared" si="25"/>
        <v>0.7203</v>
      </c>
      <c r="AG69" s="523">
        <f t="shared" si="26"/>
        <v>11535908.698015999</v>
      </c>
      <c r="AH69" s="15">
        <f t="shared" si="27"/>
        <v>5472</v>
      </c>
      <c r="AI69" s="523">
        <f>'Table 4 Level 3'!T67</f>
        <v>712227</v>
      </c>
      <c r="AJ69" s="15">
        <f t="shared" si="48"/>
        <v>337.86859582542695</v>
      </c>
      <c r="AK69" s="523">
        <f t="shared" si="28"/>
        <v>12248135.698015999</v>
      </c>
      <c r="AL69" s="15">
        <f t="shared" si="49"/>
        <v>5810.311052189752</v>
      </c>
      <c r="AM69" s="869">
        <f>'Table 4 Level 3'!AG67</f>
        <v>1347767.92</v>
      </c>
      <c r="AN69" s="870">
        <f t="shared" si="30"/>
        <v>639.358595825427</v>
      </c>
      <c r="AO69" s="523">
        <f t="shared" si="31"/>
        <v>12883676.618015999</v>
      </c>
      <c r="AP69" s="15">
        <f t="shared" si="32"/>
        <v>6111.801052189753</v>
      </c>
      <c r="AQ69" s="17">
        <f t="shared" si="33"/>
        <v>0.7752542152737518</v>
      </c>
      <c r="AR69" s="524">
        <f t="shared" si="34"/>
        <v>8</v>
      </c>
      <c r="AS69" s="15">
        <f t="shared" si="35"/>
        <v>3734971</v>
      </c>
      <c r="AT69" s="15">
        <f t="shared" si="50"/>
        <v>1771.81</v>
      </c>
      <c r="AU69" s="524">
        <f t="shared" si="36"/>
        <v>63</v>
      </c>
      <c r="AV69" s="17">
        <f t="shared" si="37"/>
        <v>0.22474578472624812</v>
      </c>
      <c r="AW69" s="524">
        <f t="shared" si="38"/>
        <v>16618647.618015999</v>
      </c>
      <c r="AX69" s="525">
        <f t="shared" si="51"/>
        <v>7883.608926952561</v>
      </c>
      <c r="AY69" s="524">
        <f t="shared" si="39"/>
        <v>61</v>
      </c>
      <c r="AZ69" s="15"/>
      <c r="BA69" s="380"/>
      <c r="BB69" s="524"/>
      <c r="BC69" s="524"/>
      <c r="BD69" s="319"/>
      <c r="BE69" s="216"/>
      <c r="BF69" s="225"/>
      <c r="BG69" s="225"/>
      <c r="BH69" s="225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</row>
    <row r="70" spans="1:154" s="5" customFormat="1" ht="12.75">
      <c r="A70" s="126">
        <v>63</v>
      </c>
      <c r="B70" s="101" t="s">
        <v>363</v>
      </c>
      <c r="C70" s="101">
        <f>'Table 8 Membership, 2.1.09'!R67</f>
        <v>2116</v>
      </c>
      <c r="D70" s="101">
        <v>999</v>
      </c>
      <c r="E70" s="101">
        <f t="shared" si="41"/>
        <v>220</v>
      </c>
      <c r="F70" s="101">
        <v>583.5</v>
      </c>
      <c r="G70" s="101">
        <f t="shared" si="42"/>
        <v>35</v>
      </c>
      <c r="H70" s="101">
        <v>272</v>
      </c>
      <c r="I70" s="101">
        <f t="shared" si="11"/>
        <v>408</v>
      </c>
      <c r="J70" s="101">
        <v>122</v>
      </c>
      <c r="K70" s="14">
        <f t="shared" si="12"/>
        <v>73</v>
      </c>
      <c r="L70" s="14">
        <f t="shared" si="43"/>
        <v>5384</v>
      </c>
      <c r="M70" s="84">
        <f t="shared" si="44"/>
        <v>0.14357</v>
      </c>
      <c r="N70" s="14">
        <f t="shared" si="45"/>
        <v>304</v>
      </c>
      <c r="O70" s="14">
        <f t="shared" si="13"/>
        <v>1040</v>
      </c>
      <c r="P70" s="14">
        <f t="shared" si="46"/>
        <v>3156</v>
      </c>
      <c r="Q70" s="519">
        <f t="shared" si="14"/>
        <v>3855</v>
      </c>
      <c r="R70" s="519">
        <f t="shared" si="47"/>
        <v>12166380</v>
      </c>
      <c r="S70" s="519">
        <f>'Table 6 (Local Deduct Calc.)'!J71</f>
        <v>7030820</v>
      </c>
      <c r="T70" s="519">
        <f t="shared" si="15"/>
        <v>7030820</v>
      </c>
      <c r="U70" s="520">
        <f t="shared" si="16"/>
        <v>5135560</v>
      </c>
      <c r="V70" s="521">
        <f t="shared" si="40"/>
        <v>0.4221</v>
      </c>
      <c r="W70" s="521">
        <f t="shared" si="17"/>
        <v>0.5779</v>
      </c>
      <c r="X70" s="522">
        <f t="shared" si="18"/>
        <v>3322.693761814745</v>
      </c>
      <c r="Y70" s="519">
        <f>'Table 7 Local Revenue'!AQ70</f>
        <v>11475885</v>
      </c>
      <c r="Z70" s="519">
        <f t="shared" si="19"/>
        <v>4445065</v>
      </c>
      <c r="AA70" s="380">
        <f t="shared" si="20"/>
        <v>0</v>
      </c>
      <c r="AB70" s="15">
        <f t="shared" si="21"/>
        <v>4136569.2</v>
      </c>
      <c r="AC70" s="15">
        <f t="shared" si="22"/>
        <v>4136569.2</v>
      </c>
      <c r="AD70" s="519">
        <f t="shared" si="23"/>
        <v>4111700.1459696</v>
      </c>
      <c r="AE70" s="523">
        <f t="shared" si="24"/>
        <v>24869.054030400235</v>
      </c>
      <c r="AF70" s="17">
        <f t="shared" si="25"/>
        <v>0.006</v>
      </c>
      <c r="AG70" s="523">
        <f t="shared" si="26"/>
        <v>5160429.0540304</v>
      </c>
      <c r="AH70" s="15">
        <f t="shared" si="27"/>
        <v>2439</v>
      </c>
      <c r="AI70" s="523">
        <f>'Table 4 Level 3'!T68</f>
        <v>5077958</v>
      </c>
      <c r="AJ70" s="15">
        <f t="shared" si="48"/>
        <v>2399.7911153119094</v>
      </c>
      <c r="AK70" s="523">
        <f t="shared" si="28"/>
        <v>10238387.0540304</v>
      </c>
      <c r="AL70" s="15">
        <f t="shared" si="49"/>
        <v>4838.557208899055</v>
      </c>
      <c r="AM70" s="869">
        <f>'Table 4 Level 3'!AG68</f>
        <v>6152864.84</v>
      </c>
      <c r="AN70" s="870">
        <f t="shared" si="30"/>
        <v>2907.781115311909</v>
      </c>
      <c r="AO70" s="523">
        <f t="shared" si="31"/>
        <v>11313293.8940304</v>
      </c>
      <c r="AP70" s="15">
        <f t="shared" si="32"/>
        <v>5346.547208899055</v>
      </c>
      <c r="AQ70" s="17">
        <f t="shared" si="33"/>
        <v>0.5032451125577484</v>
      </c>
      <c r="AR70" s="524">
        <f t="shared" si="34"/>
        <v>57</v>
      </c>
      <c r="AS70" s="15">
        <f t="shared" si="35"/>
        <v>11167389.2</v>
      </c>
      <c r="AT70" s="15">
        <f t="shared" si="50"/>
        <v>5277.59</v>
      </c>
      <c r="AU70" s="524">
        <f t="shared" si="36"/>
        <v>4</v>
      </c>
      <c r="AV70" s="17">
        <f t="shared" si="37"/>
        <v>0.4967548874422516</v>
      </c>
      <c r="AW70" s="524">
        <f t="shared" si="38"/>
        <v>22480683.0940304</v>
      </c>
      <c r="AX70" s="525">
        <f t="shared" si="51"/>
        <v>10624.141348785633</v>
      </c>
      <c r="AY70" s="524">
        <f t="shared" si="39"/>
        <v>1</v>
      </c>
      <c r="AZ70" s="15"/>
      <c r="BA70" s="380"/>
      <c r="BB70" s="524"/>
      <c r="BC70" s="524"/>
      <c r="BD70" s="319"/>
      <c r="BE70" s="216"/>
      <c r="BF70" s="225"/>
      <c r="BG70" s="225"/>
      <c r="BH70" s="225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</row>
    <row r="71" spans="1:154" s="5" customFormat="1" ht="12.75">
      <c r="A71" s="126">
        <v>64</v>
      </c>
      <c r="B71" s="101" t="s">
        <v>364</v>
      </c>
      <c r="C71" s="101">
        <f>'Table 8 Membership, 2.1.09'!R68</f>
        <v>2505</v>
      </c>
      <c r="D71" s="101">
        <v>1720</v>
      </c>
      <c r="E71" s="101">
        <f t="shared" si="41"/>
        <v>378</v>
      </c>
      <c r="F71" s="101">
        <v>1111</v>
      </c>
      <c r="G71" s="101">
        <f t="shared" si="42"/>
        <v>67</v>
      </c>
      <c r="H71" s="101">
        <v>309</v>
      </c>
      <c r="I71" s="101">
        <f t="shared" si="11"/>
        <v>464</v>
      </c>
      <c r="J71" s="101">
        <v>79</v>
      </c>
      <c r="K71" s="14">
        <f t="shared" si="12"/>
        <v>47</v>
      </c>
      <c r="L71" s="14">
        <f t="shared" si="43"/>
        <v>4995</v>
      </c>
      <c r="M71" s="84">
        <f t="shared" si="44"/>
        <v>0.1332</v>
      </c>
      <c r="N71" s="14">
        <f t="shared" si="45"/>
        <v>334</v>
      </c>
      <c r="O71" s="14">
        <f t="shared" si="13"/>
        <v>1290</v>
      </c>
      <c r="P71" s="14">
        <f t="shared" si="46"/>
        <v>3795</v>
      </c>
      <c r="Q71" s="519">
        <f t="shared" si="14"/>
        <v>3855</v>
      </c>
      <c r="R71" s="519">
        <f t="shared" si="47"/>
        <v>14629725</v>
      </c>
      <c r="S71" s="519">
        <f>'Table 6 (Local Deduct Calc.)'!J72</f>
        <v>3336825</v>
      </c>
      <c r="T71" s="519">
        <f t="shared" si="15"/>
        <v>3336825</v>
      </c>
      <c r="U71" s="520">
        <f t="shared" si="16"/>
        <v>11292900</v>
      </c>
      <c r="V71" s="521">
        <f t="shared" si="40"/>
        <v>0.7719</v>
      </c>
      <c r="W71" s="521">
        <f t="shared" si="17"/>
        <v>0.2281</v>
      </c>
      <c r="X71" s="522">
        <f t="shared" si="18"/>
        <v>1332.065868263473</v>
      </c>
      <c r="Y71" s="519">
        <f>'Table 7 Local Revenue'!AQ71</f>
        <v>7320872</v>
      </c>
      <c r="Z71" s="519">
        <f t="shared" si="19"/>
        <v>3984047</v>
      </c>
      <c r="AA71" s="380">
        <f t="shared" si="20"/>
        <v>0</v>
      </c>
      <c r="AB71" s="15">
        <f t="shared" si="21"/>
        <v>4974106.5</v>
      </c>
      <c r="AC71" s="15">
        <f t="shared" si="22"/>
        <v>3984047</v>
      </c>
      <c r="AD71" s="519">
        <f t="shared" si="23"/>
        <v>1563069.127604</v>
      </c>
      <c r="AE71" s="523">
        <f t="shared" si="24"/>
        <v>2420977.8723959997</v>
      </c>
      <c r="AF71" s="17">
        <f t="shared" si="25"/>
        <v>0.6077</v>
      </c>
      <c r="AG71" s="523">
        <f t="shared" si="26"/>
        <v>13713877.872396</v>
      </c>
      <c r="AH71" s="15">
        <f t="shared" si="27"/>
        <v>5475</v>
      </c>
      <c r="AI71" s="523">
        <f>'Table 4 Level 3'!T69</f>
        <v>983208</v>
      </c>
      <c r="AJ71" s="15">
        <f t="shared" si="48"/>
        <v>392.4982035928144</v>
      </c>
      <c r="AK71" s="523">
        <f t="shared" si="28"/>
        <v>14697085.872396</v>
      </c>
      <c r="AL71" s="15">
        <f t="shared" si="49"/>
        <v>5867.100148661078</v>
      </c>
      <c r="AM71" s="869">
        <f>'Table 4 Level 3'!AG69</f>
        <v>1793425.2</v>
      </c>
      <c r="AN71" s="870">
        <f t="shared" si="30"/>
        <v>715.9382035928144</v>
      </c>
      <c r="AO71" s="523">
        <f t="shared" si="31"/>
        <v>15507303.072395999</v>
      </c>
      <c r="AP71" s="15">
        <f t="shared" si="32"/>
        <v>6190.540148661077</v>
      </c>
      <c r="AQ71" s="17">
        <f t="shared" si="33"/>
        <v>0.6793054207450663</v>
      </c>
      <c r="AR71" s="524">
        <f t="shared" si="34"/>
        <v>31</v>
      </c>
      <c r="AS71" s="15">
        <f t="shared" si="35"/>
        <v>7320872</v>
      </c>
      <c r="AT71" s="15">
        <f t="shared" si="50"/>
        <v>2922.5</v>
      </c>
      <c r="AU71" s="524">
        <f t="shared" si="36"/>
        <v>40</v>
      </c>
      <c r="AV71" s="17">
        <f t="shared" si="37"/>
        <v>0.32069457925493366</v>
      </c>
      <c r="AW71" s="524">
        <f t="shared" si="38"/>
        <v>22828175.072396</v>
      </c>
      <c r="AX71" s="525">
        <f t="shared" si="51"/>
        <v>9113.043941076246</v>
      </c>
      <c r="AY71" s="524">
        <f t="shared" si="39"/>
        <v>17</v>
      </c>
      <c r="AZ71" s="15"/>
      <c r="BA71" s="380"/>
      <c r="BB71" s="524"/>
      <c r="BC71" s="524"/>
      <c r="BD71" s="319"/>
      <c r="BE71" s="216"/>
      <c r="BF71" s="225"/>
      <c r="BG71" s="225"/>
      <c r="BH71" s="225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</row>
    <row r="72" spans="1:154" s="5" customFormat="1" ht="12.75">
      <c r="A72" s="127">
        <v>65</v>
      </c>
      <c r="B72" s="102" t="s">
        <v>365</v>
      </c>
      <c r="C72" s="102">
        <f>'Table 8 Membership, 2.1.09'!R69</f>
        <v>8305</v>
      </c>
      <c r="D72" s="102">
        <v>6711</v>
      </c>
      <c r="E72" s="102">
        <f t="shared" si="41"/>
        <v>1476</v>
      </c>
      <c r="F72" s="102">
        <v>1995.5</v>
      </c>
      <c r="G72" s="102">
        <f t="shared" si="42"/>
        <v>120</v>
      </c>
      <c r="H72" s="102">
        <v>1252</v>
      </c>
      <c r="I72" s="102">
        <f t="shared" si="11"/>
        <v>1878</v>
      </c>
      <c r="J72" s="102">
        <v>533</v>
      </c>
      <c r="K72" s="20">
        <f t="shared" si="12"/>
        <v>320</v>
      </c>
      <c r="L72" s="20">
        <f t="shared" si="43"/>
        <v>0</v>
      </c>
      <c r="M72" s="85">
        <f>ROUND(L72/$M$4,5)</f>
        <v>0</v>
      </c>
      <c r="N72" s="20">
        <f>ROUND(C72*M72,0)</f>
        <v>0</v>
      </c>
      <c r="O72" s="20">
        <f t="shared" si="13"/>
        <v>3794</v>
      </c>
      <c r="P72" s="20">
        <f>O72+C72</f>
        <v>12099</v>
      </c>
      <c r="Q72" s="526">
        <f t="shared" si="14"/>
        <v>3855</v>
      </c>
      <c r="R72" s="526">
        <f>ROUND(P72*Q72,0)</f>
        <v>46641645</v>
      </c>
      <c r="S72" s="526">
        <f>'Table 6 (Local Deduct Calc.)'!J73</f>
        <v>17467836</v>
      </c>
      <c r="T72" s="526">
        <f t="shared" si="15"/>
        <v>17467836</v>
      </c>
      <c r="U72" s="527">
        <f t="shared" si="16"/>
        <v>29173809</v>
      </c>
      <c r="V72" s="528">
        <f t="shared" si="40"/>
        <v>0.6255</v>
      </c>
      <c r="W72" s="529">
        <f t="shared" si="17"/>
        <v>0.3745</v>
      </c>
      <c r="X72" s="530">
        <f t="shared" si="18"/>
        <v>2103.291511137869</v>
      </c>
      <c r="Y72" s="526">
        <f>'Table 7 Local Revenue'!AQ72</f>
        <v>38203447</v>
      </c>
      <c r="Z72" s="526">
        <f t="shared" si="19"/>
        <v>20735611</v>
      </c>
      <c r="AA72" s="381">
        <f t="shared" si="20"/>
        <v>0</v>
      </c>
      <c r="AB72" s="21">
        <f t="shared" si="21"/>
        <v>15858159.3</v>
      </c>
      <c r="AC72" s="21">
        <f t="shared" si="22"/>
        <v>15858159.3</v>
      </c>
      <c r="AD72" s="526">
        <f t="shared" si="23"/>
        <v>10214874.731502</v>
      </c>
      <c r="AE72" s="531">
        <f t="shared" si="24"/>
        <v>5643284.5684980005</v>
      </c>
      <c r="AF72" s="374">
        <f t="shared" si="25"/>
        <v>0.3559</v>
      </c>
      <c r="AG72" s="531">
        <f t="shared" si="26"/>
        <v>34817093.568498</v>
      </c>
      <c r="AH72" s="21">
        <f t="shared" si="27"/>
        <v>4192</v>
      </c>
      <c r="AI72" s="531">
        <f>'Table 4 Level 3'!T70</f>
        <v>4209542</v>
      </c>
      <c r="AJ72" s="21">
        <f aca="true" t="shared" si="52" ref="AJ72:AJ77">AI72/C72</f>
        <v>506.8683925346177</v>
      </c>
      <c r="AK72" s="531">
        <f t="shared" si="28"/>
        <v>39026635.568498</v>
      </c>
      <c r="AL72" s="21">
        <f aca="true" t="shared" si="53" ref="AL72:AL77">AK72/C72</f>
        <v>4699.173457976882</v>
      </c>
      <c r="AM72" s="871">
        <f>'Table 4 Level 3'!AG70</f>
        <v>7909668.65</v>
      </c>
      <c r="AN72" s="872">
        <f t="shared" si="30"/>
        <v>952.3983925346178</v>
      </c>
      <c r="AO72" s="531">
        <f t="shared" si="31"/>
        <v>42726762.218498</v>
      </c>
      <c r="AP72" s="21">
        <f t="shared" si="32"/>
        <v>5144.7034579768815</v>
      </c>
      <c r="AQ72" s="374">
        <f t="shared" si="33"/>
        <v>0.5618042476383022</v>
      </c>
      <c r="AR72" s="532">
        <f t="shared" si="34"/>
        <v>51</v>
      </c>
      <c r="AS72" s="21">
        <f t="shared" si="35"/>
        <v>33325995.3</v>
      </c>
      <c r="AT72" s="21">
        <f aca="true" t="shared" si="54" ref="AT72:AT77">ROUND(AS72/C72,2)</f>
        <v>4012.76</v>
      </c>
      <c r="AU72" s="532">
        <f t="shared" si="36"/>
        <v>17</v>
      </c>
      <c r="AV72" s="374">
        <f t="shared" si="37"/>
        <v>0.4381957523616978</v>
      </c>
      <c r="AW72" s="532">
        <f t="shared" si="38"/>
        <v>76052757.518498</v>
      </c>
      <c r="AX72" s="533">
        <f aca="true" t="shared" si="55" ref="AX72:AX77">AW72/C72</f>
        <v>9157.466287597592</v>
      </c>
      <c r="AY72" s="532">
        <f t="shared" si="39"/>
        <v>16</v>
      </c>
      <c r="AZ72" s="21"/>
      <c r="BA72" s="381"/>
      <c r="BB72" s="532"/>
      <c r="BC72" s="532"/>
      <c r="BD72" s="319"/>
      <c r="BE72" s="216"/>
      <c r="BF72" s="225"/>
      <c r="BG72" s="225"/>
      <c r="BH72" s="225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</row>
    <row r="73" spans="1:154" s="5" customFormat="1" ht="12.75">
      <c r="A73" s="126">
        <v>66</v>
      </c>
      <c r="B73" s="101" t="s">
        <v>366</v>
      </c>
      <c r="C73" s="101">
        <f>'Table 8 Membership, 2.1.09'!R70</f>
        <v>2166</v>
      </c>
      <c r="D73" s="101">
        <v>2006</v>
      </c>
      <c r="E73" s="101">
        <f t="shared" si="41"/>
        <v>441</v>
      </c>
      <c r="F73" s="101">
        <v>790.5</v>
      </c>
      <c r="G73" s="101">
        <f t="shared" si="42"/>
        <v>47</v>
      </c>
      <c r="H73" s="101">
        <v>539</v>
      </c>
      <c r="I73" s="101">
        <f>ROUND($I$4*H73,0)</f>
        <v>809</v>
      </c>
      <c r="J73" s="101">
        <v>73</v>
      </c>
      <c r="K73" s="14">
        <f>ROUND($K$4*J73,0)</f>
        <v>44</v>
      </c>
      <c r="L73" s="14">
        <f t="shared" si="43"/>
        <v>5334</v>
      </c>
      <c r="M73" s="84">
        <f>ROUND(L73/$M$4,5)</f>
        <v>0.14224</v>
      </c>
      <c r="N73" s="14">
        <f>ROUND(C73*M73,0)</f>
        <v>308</v>
      </c>
      <c r="O73" s="14">
        <f>E73+G73+I73+K73+N73</f>
        <v>1649</v>
      </c>
      <c r="P73" s="14">
        <f>O73+C73</f>
        <v>3815</v>
      </c>
      <c r="Q73" s="519">
        <f>$Q$4</f>
        <v>3855</v>
      </c>
      <c r="R73" s="519">
        <f>ROUND(P73*Q73,0)</f>
        <v>14706825</v>
      </c>
      <c r="S73" s="519">
        <f>'Table 6 (Local Deduct Calc.)'!J74</f>
        <v>4147333</v>
      </c>
      <c r="T73" s="519">
        <f>IF((S73&gt;R73*$T$4),R73*$T$4,S73)</f>
        <v>4147333</v>
      </c>
      <c r="U73" s="520">
        <f>R73-T73</f>
        <v>10559492</v>
      </c>
      <c r="V73" s="521">
        <f>ROUND(U73/R73,4)</f>
        <v>0.718</v>
      </c>
      <c r="W73" s="521">
        <f>ROUND(T73/R73,4)</f>
        <v>0.282</v>
      </c>
      <c r="X73" s="522">
        <f>T73/C73</f>
        <v>1914.7428439519852</v>
      </c>
      <c r="Y73" s="519">
        <f>'Table 7 Local Revenue'!AQ73</f>
        <v>7253203</v>
      </c>
      <c r="Z73" s="519">
        <f>IF(Y73-T73&gt;0,Y73-T73,0)</f>
        <v>3105870</v>
      </c>
      <c r="AA73" s="380">
        <f>IF(Y73-S73&lt;0,Y73-S73,0)</f>
        <v>0</v>
      </c>
      <c r="AB73" s="15">
        <f>R73*$AB$4</f>
        <v>5000320.5</v>
      </c>
      <c r="AC73" s="15">
        <f>IF(Z73&lt;AB73,Z73,AB73)</f>
        <v>3105870</v>
      </c>
      <c r="AD73" s="519">
        <f>IF(AC73&gt;0,AC73*(W73*$AD$4),0)</f>
        <v>1506471.1848</v>
      </c>
      <c r="AE73" s="523">
        <f>IF(AC73-AD73&gt;AC73*$AE$4,AC73-AD73,AC73*$AE$4)</f>
        <v>1599398.8152</v>
      </c>
      <c r="AF73" s="17">
        <f>IF(AC73=0,0,ROUND(AE73/AC73,4))</f>
        <v>0.515</v>
      </c>
      <c r="AG73" s="523">
        <f>U73+AE73</f>
        <v>12158890.815200001</v>
      </c>
      <c r="AH73" s="15">
        <f>ROUND(AG73/C73,0)</f>
        <v>5614</v>
      </c>
      <c r="AI73" s="523">
        <f>'Table 4 Level 3'!T71</f>
        <v>784154</v>
      </c>
      <c r="AJ73" s="15">
        <f t="shared" si="52"/>
        <v>362.0286241920591</v>
      </c>
      <c r="AK73" s="523">
        <f>AI73+AG73</f>
        <v>12943044.815200001</v>
      </c>
      <c r="AL73" s="15">
        <f t="shared" si="53"/>
        <v>5975.551622899354</v>
      </c>
      <c r="AM73" s="869">
        <f>'Table 4 Level 3'!AG71</f>
        <v>1848331.46</v>
      </c>
      <c r="AN73" s="870">
        <f>AM73/C73</f>
        <v>853.3386241920591</v>
      </c>
      <c r="AO73" s="523">
        <f>AG73+AM73</f>
        <v>14007222.275200002</v>
      </c>
      <c r="AP73" s="15">
        <f>AO73/C73</f>
        <v>6466.861622899354</v>
      </c>
      <c r="AQ73" s="17">
        <f>AO73/AW73</f>
        <v>0.6588401734154978</v>
      </c>
      <c r="AR73" s="524">
        <f>RANK(AQ73,$AQ$8:$AQ$76)</f>
        <v>35</v>
      </c>
      <c r="AS73" s="15">
        <f>ROUND(AC73+T73,2)</f>
        <v>7253203</v>
      </c>
      <c r="AT73" s="15">
        <f t="shared" si="54"/>
        <v>3348.66</v>
      </c>
      <c r="AU73" s="524">
        <f>RANK(AT73,$AT$8:$AT$76)</f>
        <v>26</v>
      </c>
      <c r="AV73" s="17">
        <f>AS73/AW73</f>
        <v>0.34115982658450217</v>
      </c>
      <c r="AW73" s="524">
        <f>AS73+AO73</f>
        <v>21260425.275200002</v>
      </c>
      <c r="AX73" s="525">
        <f t="shared" si="55"/>
        <v>9815.524134441368</v>
      </c>
      <c r="AY73" s="524">
        <f>RANK(AX73,$AX$8:$AX$76)</f>
        <v>6</v>
      </c>
      <c r="AZ73" s="15"/>
      <c r="BA73" s="380"/>
      <c r="BB73" s="524"/>
      <c r="BC73" s="524"/>
      <c r="BD73" s="319"/>
      <c r="BE73" s="216"/>
      <c r="BF73" s="225"/>
      <c r="BG73" s="225"/>
      <c r="BH73" s="225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</row>
    <row r="74" spans="1:154" s="5" customFormat="1" ht="12.75">
      <c r="A74" s="126">
        <v>67</v>
      </c>
      <c r="B74" s="182" t="s">
        <v>135</v>
      </c>
      <c r="C74" s="469">
        <f>'Table 8 Membership, 2.1.09'!R71</f>
        <v>4489</v>
      </c>
      <c r="D74" s="101">
        <v>1735</v>
      </c>
      <c r="E74" s="101">
        <f t="shared" si="41"/>
        <v>382</v>
      </c>
      <c r="F74" s="101">
        <v>1628</v>
      </c>
      <c r="G74" s="101">
        <f t="shared" si="42"/>
        <v>98</v>
      </c>
      <c r="H74" s="101">
        <v>479</v>
      </c>
      <c r="I74" s="101">
        <f>ROUND($I$4*H74,0)</f>
        <v>719</v>
      </c>
      <c r="J74" s="101">
        <v>269</v>
      </c>
      <c r="K74" s="14">
        <f>ROUND($K$4*J74,0)</f>
        <v>161</v>
      </c>
      <c r="L74" s="14">
        <f t="shared" si="43"/>
        <v>3011</v>
      </c>
      <c r="M74" s="84">
        <f>ROUND(L74/$M$4,5)</f>
        <v>0.08029</v>
      </c>
      <c r="N74" s="14">
        <f>ROUND(C74*M74,0)</f>
        <v>360</v>
      </c>
      <c r="O74" s="14">
        <f>E74+G74+I74+K74+N74</f>
        <v>1720</v>
      </c>
      <c r="P74" s="14">
        <f>O74+C74</f>
        <v>6209</v>
      </c>
      <c r="Q74" s="519">
        <f>$Q$4</f>
        <v>3855</v>
      </c>
      <c r="R74" s="519">
        <f>ROUND(P74*Q74,0)</f>
        <v>23935695</v>
      </c>
      <c r="S74" s="519">
        <f>'Table 6 (Local Deduct Calc.)'!J75</f>
        <v>6330543</v>
      </c>
      <c r="T74" s="519">
        <f>IF((S74&gt;R74*$T$4),R74*$T$4,S74)</f>
        <v>6330543</v>
      </c>
      <c r="U74" s="520">
        <f>R74-T74</f>
        <v>17605152</v>
      </c>
      <c r="V74" s="521">
        <f>ROUND(U74/R74,4)</f>
        <v>0.7355</v>
      </c>
      <c r="W74" s="521">
        <f>ROUND(T74/R74,4)</f>
        <v>0.2645</v>
      </c>
      <c r="X74" s="522">
        <f>T74/C74</f>
        <v>1410.2345734016485</v>
      </c>
      <c r="Y74" s="519">
        <f>'Table 7 Local Revenue'!AQ74</f>
        <v>19403966</v>
      </c>
      <c r="Z74" s="519">
        <f>IF(Y74-T74&gt;0,Y74-T74,0)</f>
        <v>13073423</v>
      </c>
      <c r="AA74" s="380">
        <f>IF(Y74-S74&lt;0,Y74-S74,0)</f>
        <v>0</v>
      </c>
      <c r="AB74" s="15">
        <f>R74*$AB$4</f>
        <v>8138136.300000001</v>
      </c>
      <c r="AC74" s="15">
        <f>IF(Z74&lt;AB74,Z74,AB74)</f>
        <v>8138136.300000001</v>
      </c>
      <c r="AD74" s="519">
        <f>IF(AC74&gt;0,AC74*(W74*$AD$4),0)</f>
        <v>3702363.7283220002</v>
      </c>
      <c r="AE74" s="534">
        <f>IF(AC74-AD74&gt;AC74*$AE$4,AC74-AD74,AC74*$AE$4)</f>
        <v>4435772.5716780005</v>
      </c>
      <c r="AF74" s="17">
        <f>IF(AC74=0,0,ROUND(AE74/AC74,4))</f>
        <v>0.5451</v>
      </c>
      <c r="AG74" s="523">
        <f>U74+AE74</f>
        <v>22040924.571678</v>
      </c>
      <c r="AH74" s="15">
        <f>ROUND(AG74/C74,0)</f>
        <v>4910</v>
      </c>
      <c r="AI74" s="523">
        <f>'Table 4 Level 3'!T72</f>
        <v>2160504</v>
      </c>
      <c r="AJ74" s="15">
        <f t="shared" si="52"/>
        <v>481.2884829583426</v>
      </c>
      <c r="AK74" s="523">
        <f>AI74+AG74</f>
        <v>24201428.571678</v>
      </c>
      <c r="AL74" s="15">
        <f t="shared" si="53"/>
        <v>5391.273907702829</v>
      </c>
      <c r="AM74" s="869">
        <f>'Table 4 Level 3'!AG72</f>
        <v>3765770.4000000004</v>
      </c>
      <c r="AN74" s="870">
        <f>AM74/C74</f>
        <v>838.8884829583427</v>
      </c>
      <c r="AO74" s="523">
        <f>AG74+AM74</f>
        <v>25806694.971678004</v>
      </c>
      <c r="AP74" s="15">
        <f>AO74/C74</f>
        <v>5748.87390770283</v>
      </c>
      <c r="AQ74" s="17">
        <f>AO74/AW74</f>
        <v>0.6407561801312793</v>
      </c>
      <c r="AR74" s="524">
        <f>RANK(AQ74,$AQ$8:$AQ$76)</f>
        <v>40</v>
      </c>
      <c r="AS74" s="15">
        <f>ROUND(AC74+T74,2)</f>
        <v>14468679.3</v>
      </c>
      <c r="AT74" s="15">
        <f t="shared" si="54"/>
        <v>3223.14</v>
      </c>
      <c r="AU74" s="524">
        <f>RANK(AT74,$AT$8:$AT$76)</f>
        <v>30</v>
      </c>
      <c r="AV74" s="17">
        <f>AS74/AW74</f>
        <v>0.3592438198687207</v>
      </c>
      <c r="AW74" s="524">
        <f>AS74+AO74</f>
        <v>40275374.271678</v>
      </c>
      <c r="AX74" s="525">
        <f t="shared" si="55"/>
        <v>8972.0147631272</v>
      </c>
      <c r="AY74" s="524">
        <f>RANK(AX74,$AX$8:$AX$76)</f>
        <v>22</v>
      </c>
      <c r="AZ74" s="15"/>
      <c r="BA74" s="380"/>
      <c r="BB74" s="524"/>
      <c r="BC74" s="524"/>
      <c r="BD74" s="319"/>
      <c r="BE74" s="216"/>
      <c r="BF74" s="225"/>
      <c r="BG74" s="225"/>
      <c r="BH74" s="225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</row>
    <row r="75" spans="1:57" ht="12.75">
      <c r="A75" s="126">
        <v>68</v>
      </c>
      <c r="B75" s="101" t="s">
        <v>132</v>
      </c>
      <c r="C75" s="101">
        <f>'Table 8 Membership, 2.1.09'!R72</f>
        <v>1816</v>
      </c>
      <c r="D75" s="101">
        <v>1540</v>
      </c>
      <c r="E75" s="101">
        <f t="shared" si="41"/>
        <v>339</v>
      </c>
      <c r="F75" s="101">
        <v>436</v>
      </c>
      <c r="G75" s="101">
        <f t="shared" si="42"/>
        <v>26</v>
      </c>
      <c r="H75" s="101">
        <v>238</v>
      </c>
      <c r="I75" s="101">
        <f>ROUND($I$4*H75,0)</f>
        <v>357</v>
      </c>
      <c r="J75" s="101">
        <v>5</v>
      </c>
      <c r="K75" s="14">
        <f>ROUND($K$4*J75,0)</f>
        <v>3</v>
      </c>
      <c r="L75" s="14">
        <f t="shared" si="43"/>
        <v>5684</v>
      </c>
      <c r="M75" s="84">
        <f>ROUND(L75/$M$4,5)</f>
        <v>0.15157</v>
      </c>
      <c r="N75" s="14">
        <f>ROUND(C75*M75,0)</f>
        <v>275</v>
      </c>
      <c r="O75" s="14">
        <f>E75+G75+I75+K75+N75</f>
        <v>1000</v>
      </c>
      <c r="P75" s="14">
        <f>O75+C75</f>
        <v>2816</v>
      </c>
      <c r="Q75" s="519">
        <f>$Q$4</f>
        <v>3855</v>
      </c>
      <c r="R75" s="519">
        <f>ROUND(P75*Q75,0)</f>
        <v>10855680</v>
      </c>
      <c r="S75" s="519">
        <f>'Table 6 (Local Deduct Calc.)'!J76</f>
        <v>2363981</v>
      </c>
      <c r="T75" s="519">
        <f>IF((S75&gt;R75*$T$4),R75*$T$4,S75)</f>
        <v>2363981</v>
      </c>
      <c r="U75" s="520">
        <f>R75-T75</f>
        <v>8491699</v>
      </c>
      <c r="V75" s="521">
        <f>ROUND(U75/R75,4)</f>
        <v>0.7822</v>
      </c>
      <c r="W75" s="521">
        <f>ROUND(T75/R75,4)</f>
        <v>0.2178</v>
      </c>
      <c r="X75" s="522">
        <f>T75/C75</f>
        <v>1301.751651982379</v>
      </c>
      <c r="Y75" s="519">
        <f>'Table 7 Local Revenue'!AQ75</f>
        <v>6629175</v>
      </c>
      <c r="Z75" s="519">
        <f>IF(Y75-T75&gt;0,Y75-T75,0)</f>
        <v>4265194</v>
      </c>
      <c r="AA75" s="380">
        <f>IF(Y75-S75&lt;0,Y75-S75,0)</f>
        <v>0</v>
      </c>
      <c r="AB75" s="15">
        <f>R75*$AB$4</f>
        <v>3690931.2</v>
      </c>
      <c r="AC75" s="15">
        <f>IF(Z75&lt;AB75,Z75,AB75)</f>
        <v>3690931.2</v>
      </c>
      <c r="AD75" s="519">
        <f>IF(AC75&gt;0,AC75*(W75*$AD$4),0)</f>
        <v>1382681.8824192001</v>
      </c>
      <c r="AE75" s="523">
        <f>IF(AC75-AD75&gt;AC75*$AE$4,AC75-AD75,AC75*$AE$4)</f>
        <v>2308249.3175808</v>
      </c>
      <c r="AF75" s="17">
        <f>IF(AC75=0,0,ROUND(AE75/AC75,4))</f>
        <v>0.6254</v>
      </c>
      <c r="AG75" s="523">
        <f>U75+AE75</f>
        <v>10799948.3175808</v>
      </c>
      <c r="AH75" s="15">
        <f>ROUND(AG75/C75,0)</f>
        <v>5947</v>
      </c>
      <c r="AI75" s="523">
        <f>'Table 4 Level 3'!T73</f>
        <v>950135</v>
      </c>
      <c r="AJ75" s="15">
        <f t="shared" si="52"/>
        <v>523.2020925110132</v>
      </c>
      <c r="AK75" s="523">
        <f>AI75+AG75</f>
        <v>11750083.3175808</v>
      </c>
      <c r="AL75" s="15">
        <f t="shared" si="53"/>
        <v>6470.310196905727</v>
      </c>
      <c r="AM75" s="869">
        <f>'Table 4 Level 3'!AG73</f>
        <v>1694313.6400000001</v>
      </c>
      <c r="AN75" s="870">
        <f>AM75/C75</f>
        <v>932.9920925110133</v>
      </c>
      <c r="AO75" s="523">
        <f>AG75+AM75</f>
        <v>12494261.957580801</v>
      </c>
      <c r="AP75" s="15">
        <f>AO75/C75</f>
        <v>6880.100196905728</v>
      </c>
      <c r="AQ75" s="17">
        <f>AO75/AW75</f>
        <v>0.6735751064407665</v>
      </c>
      <c r="AR75" s="524">
        <f>RANK(AQ75,$AQ$8:$AQ$76)</f>
        <v>33</v>
      </c>
      <c r="AS75" s="15">
        <f>ROUND(AC75+T75,2)</f>
        <v>6054912.2</v>
      </c>
      <c r="AT75" s="15">
        <f t="shared" si="54"/>
        <v>3334.2</v>
      </c>
      <c r="AU75" s="524">
        <f>RANK(AT75,$AT$8:$AT$76)</f>
        <v>28</v>
      </c>
      <c r="AV75" s="17">
        <f>AS75/AW75</f>
        <v>0.32642489355923365</v>
      </c>
      <c r="AW75" s="524">
        <f>AS75+AO75</f>
        <v>18549174.1575808</v>
      </c>
      <c r="AX75" s="525">
        <f t="shared" si="55"/>
        <v>10214.302950209692</v>
      </c>
      <c r="AY75" s="524">
        <f>RANK(AX75,$AX$8:$AX$76)</f>
        <v>4</v>
      </c>
      <c r="AZ75" s="15"/>
      <c r="BA75" s="380"/>
      <c r="BB75" s="524"/>
      <c r="BC75" s="524"/>
      <c r="BD75" s="319"/>
      <c r="BE75" s="216"/>
    </row>
    <row r="76" spans="1:57" ht="12.75">
      <c r="A76" s="127">
        <v>69</v>
      </c>
      <c r="B76" s="102" t="s">
        <v>447</v>
      </c>
      <c r="C76" s="101">
        <f>'Table 8 Membership, 2.1.09'!R73</f>
        <v>3538</v>
      </c>
      <c r="D76" s="102">
        <v>1415</v>
      </c>
      <c r="E76" s="102">
        <f t="shared" si="41"/>
        <v>311</v>
      </c>
      <c r="F76" s="102">
        <v>1237</v>
      </c>
      <c r="G76" s="102">
        <f t="shared" si="42"/>
        <v>74</v>
      </c>
      <c r="H76" s="102">
        <v>251</v>
      </c>
      <c r="I76" s="102">
        <f>ROUND($I$4*H76,0)</f>
        <v>377</v>
      </c>
      <c r="J76" s="102">
        <v>51</v>
      </c>
      <c r="K76" s="20">
        <f>ROUND($K$4*J76,0)</f>
        <v>31</v>
      </c>
      <c r="L76" s="20">
        <f t="shared" si="43"/>
        <v>3962</v>
      </c>
      <c r="M76" s="85">
        <f>ROUND(L76/$M$4,5)</f>
        <v>0.10565</v>
      </c>
      <c r="N76" s="14">
        <f>ROUND(C76*M76,0)</f>
        <v>374</v>
      </c>
      <c r="O76" s="20">
        <f>E76+G76+I76+K76+N76</f>
        <v>1167</v>
      </c>
      <c r="P76" s="20">
        <f>O76+C76</f>
        <v>4705</v>
      </c>
      <c r="Q76" s="519">
        <f>$Q$4</f>
        <v>3855</v>
      </c>
      <c r="R76" s="519">
        <f>ROUND(P76*Q76,0)</f>
        <v>18137775</v>
      </c>
      <c r="S76" s="519">
        <f>'Table 6 (Local Deduct Calc.)'!J77</f>
        <v>3931529</v>
      </c>
      <c r="T76" s="519">
        <f>IF((S76&gt;R76*$T$4),R76*$T$4,S76)</f>
        <v>3931529</v>
      </c>
      <c r="U76" s="520">
        <f>R76-T76</f>
        <v>14206246</v>
      </c>
      <c r="V76" s="521">
        <f>ROUND(U76/R76,4)</f>
        <v>0.7832</v>
      </c>
      <c r="W76" s="521">
        <f>ROUND(T76/R76,4)</f>
        <v>0.2168</v>
      </c>
      <c r="X76" s="522">
        <f>T76/C76</f>
        <v>1111.2292255511588</v>
      </c>
      <c r="Y76" s="519">
        <f>'Table 7 Local Revenue'!AQ76</f>
        <v>7082863</v>
      </c>
      <c r="Z76" s="519">
        <f>IF(Y76-T76&gt;0,Y76-T76,0)</f>
        <v>3151334</v>
      </c>
      <c r="AA76" s="380">
        <f>IF(Y76-S76&lt;0,Y76-S76,0)</f>
        <v>0</v>
      </c>
      <c r="AB76" s="15">
        <f>R76*$AB$4</f>
        <v>6166843.5</v>
      </c>
      <c r="AC76" s="15">
        <f>IF(Z76&lt;AB76,Z76,AB76)</f>
        <v>3151334</v>
      </c>
      <c r="AD76" s="519">
        <f>IF(AC76&gt;0,AC76*(W76*$AD$4),0)</f>
        <v>1175119.843264</v>
      </c>
      <c r="AE76" s="523">
        <f>IF(AC76-AD76&gt;AC76*$AE$4,AC76-AD76,AC76*$AE$4)</f>
        <v>1976214.156736</v>
      </c>
      <c r="AF76" s="17">
        <f>IF(AC76=0,0,ROUND(AE76/AC76,4))</f>
        <v>0.6271</v>
      </c>
      <c r="AG76" s="523">
        <f>U76+AE76</f>
        <v>16182460.156736</v>
      </c>
      <c r="AH76" s="15">
        <f>ROUND(AG76/C76,0)</f>
        <v>4574</v>
      </c>
      <c r="AI76" s="523">
        <f>'Table 4 Level 3'!T74</f>
        <v>1777521</v>
      </c>
      <c r="AJ76" s="15">
        <f t="shared" si="52"/>
        <v>502.40842283776146</v>
      </c>
      <c r="AK76" s="531">
        <f>AI76+AG76</f>
        <v>17959981.156736</v>
      </c>
      <c r="AL76" s="21">
        <f t="shared" si="53"/>
        <v>5076.308975900509</v>
      </c>
      <c r="AM76" s="869">
        <f>'Table 4 Level 3'!AG74</f>
        <v>2932819.52</v>
      </c>
      <c r="AN76" s="870">
        <f>AM76/C76</f>
        <v>828.9484228377614</v>
      </c>
      <c r="AO76" s="531">
        <f>AG76+AM76</f>
        <v>19115279.676736</v>
      </c>
      <c r="AP76" s="21">
        <f>AO76/C76</f>
        <v>5402.848975900509</v>
      </c>
      <c r="AQ76" s="17">
        <f>AO76/AW76</f>
        <v>0.7296425518634344</v>
      </c>
      <c r="AR76" s="524">
        <f>RANK(AQ76,$AQ$8:$AQ$76)</f>
        <v>15</v>
      </c>
      <c r="AS76" s="15">
        <f>ROUND(AC76+T76,2)</f>
        <v>7082863</v>
      </c>
      <c r="AT76" s="15">
        <f t="shared" si="54"/>
        <v>2001.94</v>
      </c>
      <c r="AU76" s="524">
        <f>RANK(AT76,$AT$8:$AT$76)</f>
        <v>59</v>
      </c>
      <c r="AV76" s="17">
        <f>AS76/AW76</f>
        <v>0.27035744813656565</v>
      </c>
      <c r="AW76" s="524">
        <f>AS76+AO76</f>
        <v>26198142.676736</v>
      </c>
      <c r="AX76" s="525">
        <f t="shared" si="55"/>
        <v>7404.788772395704</v>
      </c>
      <c r="AY76" s="524">
        <f>RANK(AX76,$AX$8:$AX$76)</f>
        <v>67</v>
      </c>
      <c r="AZ76" s="15"/>
      <c r="BA76" s="381"/>
      <c r="BB76" s="524"/>
      <c r="BC76" s="524"/>
      <c r="BD76" s="319"/>
      <c r="BE76" s="216"/>
    </row>
    <row r="77" spans="1:57" ht="13.5" thickBot="1">
      <c r="A77" s="128"/>
      <c r="B77" s="129" t="s">
        <v>298</v>
      </c>
      <c r="C77" s="130">
        <f>SUM(C8:C76)</f>
        <v>650290</v>
      </c>
      <c r="D77" s="130">
        <f aca="true" t="shared" si="56" ref="D77:L77">SUM(D8:D76)</f>
        <v>420589</v>
      </c>
      <c r="E77" s="130">
        <f t="shared" si="56"/>
        <v>92528</v>
      </c>
      <c r="F77" s="130">
        <f t="shared" si="56"/>
        <v>195872.5</v>
      </c>
      <c r="G77" s="130">
        <f t="shared" si="56"/>
        <v>11752</v>
      </c>
      <c r="H77" s="130">
        <f t="shared" si="56"/>
        <v>85661</v>
      </c>
      <c r="I77" s="130">
        <f t="shared" si="56"/>
        <v>128510</v>
      </c>
      <c r="J77" s="130">
        <f t="shared" si="56"/>
        <v>24476</v>
      </c>
      <c r="K77" s="130">
        <f t="shared" si="56"/>
        <v>14686</v>
      </c>
      <c r="L77" s="130">
        <f t="shared" si="56"/>
        <v>183434</v>
      </c>
      <c r="M77" s="130"/>
      <c r="N77" s="130">
        <f>SUM(N8:N76)</f>
        <v>13554</v>
      </c>
      <c r="O77" s="130">
        <f>SUM(O8:O76)</f>
        <v>261030</v>
      </c>
      <c r="P77" s="130">
        <f>SUM(P8:P76)</f>
        <v>911320</v>
      </c>
      <c r="Q77" s="535">
        <f>$Q$4</f>
        <v>3855</v>
      </c>
      <c r="R77" s="536">
        <f>SUM(R8:R76)</f>
        <v>3513138600</v>
      </c>
      <c r="S77" s="536">
        <f>SUM(S8:S76)</f>
        <v>1234403824</v>
      </c>
      <c r="T77" s="536">
        <f>SUM(T8:T76)</f>
        <v>1229753849.5</v>
      </c>
      <c r="U77" s="537">
        <f>SUM(U8:U76)</f>
        <v>2283384750.5</v>
      </c>
      <c r="V77" s="538">
        <f>ROUND(U77/R77,4)</f>
        <v>0.65</v>
      </c>
      <c r="W77" s="539">
        <f>ROUND(T77/R77,4)</f>
        <v>0.35</v>
      </c>
      <c r="X77" s="540">
        <f>T77/C77</f>
        <v>1891.0852842577926</v>
      </c>
      <c r="Y77" s="536">
        <f aca="true" t="shared" si="57" ref="Y77:AE77">SUM(Y8:Y76)</f>
        <v>2682864042.8900003</v>
      </c>
      <c r="Z77" s="536">
        <f t="shared" si="57"/>
        <v>1452307279.5</v>
      </c>
      <c r="AA77" s="536">
        <f t="shared" si="57"/>
        <v>0</v>
      </c>
      <c r="AB77" s="541">
        <f t="shared" si="57"/>
        <v>1194467124.0000005</v>
      </c>
      <c r="AC77" s="541">
        <f t="shared" si="57"/>
        <v>1032326990.3000003</v>
      </c>
      <c r="AD77" s="535">
        <f t="shared" si="57"/>
        <v>656902925.9218719</v>
      </c>
      <c r="AE77" s="542">
        <f t="shared" si="57"/>
        <v>380104865.67742157</v>
      </c>
      <c r="AF77" s="271">
        <f>IF(AC77=0,0,ROUND(AE77/AC77,4))</f>
        <v>0.3682</v>
      </c>
      <c r="AG77" s="545">
        <f>SUM(AG8:AG76)</f>
        <v>2663489616.1774225</v>
      </c>
      <c r="AH77" s="544">
        <f>ROUND(AG77/C77,0)</f>
        <v>4096</v>
      </c>
      <c r="AI77" s="545">
        <f>SUM(AI8:AI76)</f>
        <v>344025004</v>
      </c>
      <c r="AJ77" s="543">
        <f t="shared" si="52"/>
        <v>529.0332067231543</v>
      </c>
      <c r="AK77" s="545">
        <f>SUM(AK8:AK76)</f>
        <v>3007514620.1774225</v>
      </c>
      <c r="AL77" s="543">
        <f t="shared" si="53"/>
        <v>4624.882160539793</v>
      </c>
      <c r="AM77" s="545">
        <f>SUM(AM8:AM76)</f>
        <v>608306276.8067839</v>
      </c>
      <c r="AN77" s="543">
        <f>AM77/C77</f>
        <v>935.4384610047578</v>
      </c>
      <c r="AO77" s="545">
        <f>SUM(AO8:AO76)</f>
        <v>3271795892.984205</v>
      </c>
      <c r="AP77" s="543">
        <f>AO77/C77</f>
        <v>5031.287414821395</v>
      </c>
      <c r="AQ77" s="546">
        <f>AO77/AW77</f>
        <v>0.5912303527834633</v>
      </c>
      <c r="AR77" s="544"/>
      <c r="AS77" s="544">
        <f>SUM(AS8:AS76)</f>
        <v>2262080839.7999997</v>
      </c>
      <c r="AT77" s="543">
        <f t="shared" si="54"/>
        <v>3478.57</v>
      </c>
      <c r="AU77" s="543"/>
      <c r="AV77" s="271">
        <f>AS77/AW77</f>
        <v>0.4087696472165366</v>
      </c>
      <c r="AW77" s="543">
        <f>SUM(AW8:AW76)</f>
        <v>5533876732.784205</v>
      </c>
      <c r="AX77" s="536">
        <f t="shared" si="55"/>
        <v>8509.85980529334</v>
      </c>
      <c r="AY77" s="543"/>
      <c r="AZ77" s="543"/>
      <c r="BA77" s="543"/>
      <c r="BB77" s="543"/>
      <c r="BC77" s="543"/>
      <c r="BD77" s="325"/>
      <c r="BE77" s="339"/>
    </row>
    <row r="78" spans="1:55" ht="12.75" customHeight="1" thickTop="1">
      <c r="A78" s="131"/>
      <c r="B78" s="257"/>
      <c r="C78" s="217"/>
      <c r="D78" s="132"/>
      <c r="E78" s="133"/>
      <c r="F78" s="217"/>
      <c r="G78" s="132"/>
      <c r="H78" s="132"/>
      <c r="I78" s="132"/>
      <c r="J78" s="132"/>
      <c r="O78" s="5"/>
      <c r="P78" s="5"/>
      <c r="S78" s="2"/>
      <c r="T78" s="2"/>
      <c r="U78" s="6"/>
      <c r="V78" s="2"/>
      <c r="W78" s="2"/>
      <c r="X78" s="2"/>
      <c r="Y78" s="2"/>
      <c r="AA78" s="2"/>
      <c r="AB78" s="2"/>
      <c r="AC78" s="2"/>
      <c r="AD78" s="2"/>
      <c r="AE78" s="2"/>
      <c r="AF78" s="2"/>
      <c r="AH78" s="2"/>
      <c r="AX78" s="547"/>
      <c r="AY78" s="547"/>
      <c r="AZ78" s="547"/>
      <c r="BA78" s="2"/>
      <c r="BB78" s="1334"/>
      <c r="BC78" s="1334"/>
    </row>
    <row r="79" spans="1:60" s="41" customFormat="1" ht="15" customHeight="1" hidden="1" thickTop="1">
      <c r="A79" s="134"/>
      <c r="B79" s="135"/>
      <c r="C79" s="89"/>
      <c r="D79" s="373">
        <f>D76/C76</f>
        <v>0.3999434708875071</v>
      </c>
      <c r="E79" s="135"/>
      <c r="F79" s="215"/>
      <c r="G79" s="135"/>
      <c r="H79" s="252"/>
      <c r="I79" s="253"/>
      <c r="J79" s="252"/>
      <c r="N79" s="1344"/>
      <c r="O79" s="1344"/>
      <c r="Q79" s="78"/>
      <c r="R79" s="348">
        <f>R77*0.35</f>
        <v>1229598510</v>
      </c>
      <c r="S79" s="349"/>
      <c r="T79" s="349"/>
      <c r="U79" s="350">
        <f>R79/R81</f>
        <v>0.9961071782940296</v>
      </c>
      <c r="V79" s="23"/>
      <c r="W79" s="23"/>
      <c r="X79" s="23"/>
      <c r="Y79" s="23"/>
      <c r="AA79" s="23"/>
      <c r="AB79" s="23"/>
      <c r="AC79" s="23"/>
      <c r="AD79" s="23"/>
      <c r="AE79" s="345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1335"/>
      <c r="BC79" s="1335"/>
      <c r="BD79" s="253"/>
      <c r="BE79" s="253"/>
      <c r="BF79" s="253"/>
      <c r="BG79" s="253"/>
      <c r="BH79" s="253"/>
    </row>
    <row r="80" spans="1:55" ht="13.5" customHeight="1" hidden="1" thickTop="1">
      <c r="A80" s="131"/>
      <c r="B80" s="132"/>
      <c r="C80" s="261"/>
      <c r="D80" s="216"/>
      <c r="E80" s="260"/>
      <c r="F80" s="132"/>
      <c r="G80" s="132"/>
      <c r="H80" s="176"/>
      <c r="I80" s="254"/>
      <c r="J80" s="176"/>
      <c r="Q80" s="183"/>
      <c r="R80" s="144"/>
      <c r="S80" s="347"/>
      <c r="T80" s="347"/>
      <c r="U80" s="351"/>
      <c r="V80" s="23"/>
      <c r="W80" s="23"/>
      <c r="X80" s="23"/>
      <c r="Y80" s="23"/>
      <c r="AA80" s="23"/>
      <c r="AB80" s="23"/>
      <c r="AC80" s="23"/>
      <c r="AD80" s="23"/>
      <c r="AE80" s="23"/>
      <c r="AF80" s="23"/>
      <c r="AG80" s="346"/>
      <c r="AH80" s="23"/>
      <c r="AI80" s="23"/>
      <c r="AJ80" s="23"/>
      <c r="AK80" s="346"/>
      <c r="AL80" s="346"/>
      <c r="AM80" s="346"/>
      <c r="AN80" s="346"/>
      <c r="AO80" s="346"/>
      <c r="AP80" s="346"/>
      <c r="AQ80" s="346"/>
      <c r="AR80" s="346"/>
      <c r="AS80" s="23"/>
      <c r="AT80" s="346"/>
      <c r="AU80" s="346"/>
      <c r="AV80" s="346"/>
      <c r="AW80" s="346"/>
      <c r="AX80" s="346"/>
      <c r="AY80" s="346"/>
      <c r="AZ80" s="346"/>
      <c r="BA80" s="23"/>
      <c r="BB80" s="1335"/>
      <c r="BC80" s="1335"/>
    </row>
    <row r="81" spans="1:55" ht="13.5" customHeight="1" hidden="1" thickTop="1">
      <c r="A81" s="131"/>
      <c r="B81" s="132"/>
      <c r="C81" s="259"/>
      <c r="D81" s="217"/>
      <c r="E81" s="132"/>
      <c r="F81" s="132"/>
      <c r="G81" s="132"/>
      <c r="H81" s="252"/>
      <c r="I81" s="176"/>
      <c r="J81" s="252"/>
      <c r="Q81" s="79"/>
      <c r="R81" s="352">
        <f>'Table 6 (Local Deduct Calc.)'!E78+'Table 6 (Local Deduct Calc.)'!H78+'Table 6 (Local Deduct Calc.)'!I78</f>
        <v>1234403824</v>
      </c>
      <c r="S81" s="347" t="s">
        <v>626</v>
      </c>
      <c r="T81" s="347"/>
      <c r="U81" s="353"/>
      <c r="V81" s="23"/>
      <c r="W81" s="23"/>
      <c r="X81" s="23"/>
      <c r="Y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1335"/>
      <c r="BC81" s="1335"/>
    </row>
    <row r="82" spans="1:55" ht="13.5" customHeight="1" hidden="1" thickTop="1">
      <c r="A82" s="131"/>
      <c r="B82" s="132"/>
      <c r="C82" s="259"/>
      <c r="D82" s="132"/>
      <c r="E82" s="132"/>
      <c r="F82" s="132"/>
      <c r="G82" s="132"/>
      <c r="H82" s="176"/>
      <c r="I82" s="176"/>
      <c r="J82" s="176"/>
      <c r="R82" s="144"/>
      <c r="S82" s="347"/>
      <c r="T82" s="347"/>
      <c r="U82" s="353"/>
      <c r="V82" s="23"/>
      <c r="W82" s="23"/>
      <c r="X82" s="23"/>
      <c r="Y82" s="23"/>
      <c r="AA82" s="23"/>
      <c r="AB82" s="23"/>
      <c r="AC82" s="23"/>
      <c r="AD82" s="23"/>
      <c r="AE82" s="23"/>
      <c r="AF82" s="23"/>
      <c r="AG82" s="346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346"/>
      <c r="BA82" s="23"/>
      <c r="BB82" s="1335"/>
      <c r="BC82" s="1335"/>
    </row>
    <row r="83" spans="1:56" ht="13.5" customHeight="1" hidden="1" thickTop="1">
      <c r="A83" s="131"/>
      <c r="B83" s="132"/>
      <c r="C83" s="132"/>
      <c r="D83" s="132"/>
      <c r="E83" s="132"/>
      <c r="F83" s="132"/>
      <c r="G83" s="132"/>
      <c r="H83" s="132"/>
      <c r="I83" s="132"/>
      <c r="J83" s="132"/>
      <c r="R83" s="144"/>
      <c r="S83" s="347"/>
      <c r="T83" s="347"/>
      <c r="U83" s="353"/>
      <c r="V83" s="23"/>
      <c r="W83" s="23"/>
      <c r="X83" s="23"/>
      <c r="Y83" s="23"/>
      <c r="AA83" s="23"/>
      <c r="AB83" s="23"/>
      <c r="AC83" s="23"/>
      <c r="AD83" s="23"/>
      <c r="AE83" s="23"/>
      <c r="AF83" s="23"/>
      <c r="AG83" s="346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346"/>
      <c r="BA83" s="23"/>
      <c r="BB83" s="1335"/>
      <c r="BC83" s="1335"/>
      <c r="BD83" s="341"/>
    </row>
    <row r="84" spans="1:55" ht="21.75" customHeight="1" hidden="1" thickBot="1" thickTop="1">
      <c r="A84" s="131"/>
      <c r="B84" s="132"/>
      <c r="C84" s="176"/>
      <c r="D84" s="386"/>
      <c r="E84" s="386"/>
      <c r="F84" s="386"/>
      <c r="G84" s="386"/>
      <c r="H84" s="176"/>
      <c r="I84" s="176"/>
      <c r="J84" s="176"/>
      <c r="R84" s="354" t="s">
        <v>627</v>
      </c>
      <c r="S84" s="355"/>
      <c r="T84" s="355"/>
      <c r="U84" s="356"/>
      <c r="BB84" s="1335"/>
      <c r="BC84" s="1335"/>
    </row>
    <row r="85" spans="1:55" ht="15" customHeight="1">
      <c r="A85" s="131"/>
      <c r="B85" s="132"/>
      <c r="C85" s="1331"/>
      <c r="D85" s="1331"/>
      <c r="E85" s="1331"/>
      <c r="F85" s="1331"/>
      <c r="G85" s="1331"/>
      <c r="H85" s="176"/>
      <c r="I85" s="176"/>
      <c r="J85" s="176"/>
      <c r="S85" s="340"/>
      <c r="T85" s="340"/>
      <c r="U85" s="340"/>
      <c r="BB85" s="1335"/>
      <c r="BC85" s="1335"/>
    </row>
    <row r="86" spans="1:55" ht="13.5" customHeight="1">
      <c r="A86" s="131"/>
      <c r="B86" s="132"/>
      <c r="C86" s="1331"/>
      <c r="D86" s="1331"/>
      <c r="E86" s="1331"/>
      <c r="F86" s="1331"/>
      <c r="G86" s="1331"/>
      <c r="H86" s="176"/>
      <c r="I86" s="176"/>
      <c r="J86" s="176"/>
      <c r="S86" s="340"/>
      <c r="T86" s="340"/>
      <c r="U86" s="340"/>
      <c r="BB86" s="1335"/>
      <c r="BC86" s="1335"/>
    </row>
    <row r="87" spans="1:49" ht="14.25" customHeight="1" thickBot="1">
      <c r="A87" s="131"/>
      <c r="B87" s="132"/>
      <c r="C87" s="216"/>
      <c r="D87" s="176"/>
      <c r="E87" s="386"/>
      <c r="F87" s="386"/>
      <c r="G87" s="386"/>
      <c r="H87" s="176"/>
      <c r="I87" s="176"/>
      <c r="J87" s="176"/>
      <c r="S87" s="340"/>
      <c r="T87" s="340"/>
      <c r="U87" s="340"/>
      <c r="Z87" s="392"/>
      <c r="AG87" s="6"/>
      <c r="AI87" s="24"/>
      <c r="AJ87" s="2"/>
      <c r="AK87" s="547"/>
      <c r="AL87" s="547"/>
      <c r="AM87" s="547"/>
      <c r="AN87" s="547"/>
      <c r="AO87" s="545"/>
      <c r="AP87" s="547"/>
      <c r="AQ87" s="547"/>
      <c r="AR87" s="547"/>
      <c r="AS87" s="2"/>
      <c r="AT87" s="547"/>
      <c r="AU87" s="547"/>
      <c r="AV87" s="547"/>
      <c r="AW87" s="543"/>
    </row>
    <row r="88" spans="1:26" ht="13.5" thickTop="1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S88" s="340"/>
      <c r="T88" s="340"/>
      <c r="U88" s="340"/>
      <c r="Z88" s="392"/>
    </row>
    <row r="89" spans="1:26" ht="12.75">
      <c r="A89" s="391"/>
      <c r="B89" s="176"/>
      <c r="C89" s="721"/>
      <c r="D89" s="176"/>
      <c r="E89" s="176"/>
      <c r="F89" s="176"/>
      <c r="G89" s="176"/>
      <c r="H89" s="176"/>
      <c r="I89" s="176"/>
      <c r="J89" s="176"/>
      <c r="K89" s="83"/>
      <c r="L89" s="83"/>
      <c r="M89" s="720"/>
      <c r="N89" s="83"/>
      <c r="O89" s="83"/>
      <c r="P89" s="83"/>
      <c r="Q89" s="83"/>
      <c r="R89" s="83"/>
      <c r="S89" s="340"/>
      <c r="T89" s="340"/>
      <c r="U89" s="340"/>
      <c r="Z89" s="392"/>
    </row>
    <row r="90" spans="1:26" ht="12.75">
      <c r="A90" s="391"/>
      <c r="B90" s="176"/>
      <c r="C90" s="216"/>
      <c r="D90" s="176"/>
      <c r="E90" s="176"/>
      <c r="F90" s="176"/>
      <c r="G90" s="176"/>
      <c r="H90" s="176"/>
      <c r="I90" s="176"/>
      <c r="J90" s="176"/>
      <c r="K90" s="83"/>
      <c r="L90" s="83"/>
      <c r="M90" s="720"/>
      <c r="N90" s="83"/>
      <c r="O90" s="83"/>
      <c r="P90" s="83"/>
      <c r="Q90" s="83"/>
      <c r="R90" s="83"/>
      <c r="S90" s="340"/>
      <c r="T90" s="340"/>
      <c r="U90" s="340"/>
      <c r="Z90" s="392"/>
    </row>
    <row r="91" spans="1:26" ht="12.75">
      <c r="A91" s="391"/>
      <c r="B91" s="176"/>
      <c r="C91" s="216"/>
      <c r="D91" s="176"/>
      <c r="E91" s="176"/>
      <c r="F91" s="176"/>
      <c r="G91" s="176"/>
      <c r="H91" s="176"/>
      <c r="I91" s="176"/>
      <c r="J91" s="176"/>
      <c r="K91" s="83"/>
      <c r="L91" s="83"/>
      <c r="M91" s="720"/>
      <c r="N91" s="83"/>
      <c r="O91" s="83"/>
      <c r="P91" s="83"/>
      <c r="Q91" s="83"/>
      <c r="R91" s="83"/>
      <c r="S91" s="340"/>
      <c r="T91" s="340"/>
      <c r="U91" s="340"/>
      <c r="Z91" s="392"/>
    </row>
    <row r="92" spans="1:26" ht="12.75">
      <c r="A92" s="391"/>
      <c r="B92" s="176"/>
      <c r="C92" s="176"/>
      <c r="D92" s="176"/>
      <c r="E92" s="176"/>
      <c r="F92" s="176"/>
      <c r="G92" s="176"/>
      <c r="H92" s="176"/>
      <c r="I92" s="176"/>
      <c r="J92" s="176"/>
      <c r="K92" s="83"/>
      <c r="L92" s="83"/>
      <c r="M92" s="720"/>
      <c r="N92" s="83"/>
      <c r="O92" s="83"/>
      <c r="P92" s="83"/>
      <c r="Q92" s="83"/>
      <c r="R92" s="83"/>
      <c r="S92" s="340"/>
      <c r="T92" s="340"/>
      <c r="U92" s="340"/>
      <c r="Z92" s="7"/>
    </row>
    <row r="93" spans="1:26" ht="12.75">
      <c r="A93" s="391"/>
      <c r="B93" s="176"/>
      <c r="C93" s="176"/>
      <c r="D93" s="176"/>
      <c r="E93" s="176"/>
      <c r="F93" s="176"/>
      <c r="G93" s="176"/>
      <c r="H93" s="176"/>
      <c r="I93" s="176"/>
      <c r="J93" s="176"/>
      <c r="K93" s="83"/>
      <c r="L93" s="83"/>
      <c r="M93" s="720"/>
      <c r="N93" s="83"/>
      <c r="O93" s="83"/>
      <c r="P93" s="83"/>
      <c r="Q93" s="83"/>
      <c r="R93" s="83"/>
      <c r="S93" s="340"/>
      <c r="T93" s="340"/>
      <c r="U93" s="340"/>
      <c r="Z93" s="391"/>
    </row>
    <row r="94" spans="1:26" ht="12.75">
      <c r="A94" s="391"/>
      <c r="B94" s="216"/>
      <c r="C94" s="176"/>
      <c r="D94" s="176"/>
      <c r="E94" s="176"/>
      <c r="F94" s="176"/>
      <c r="G94" s="176"/>
      <c r="H94" s="176"/>
      <c r="I94" s="176"/>
      <c r="J94" s="176"/>
      <c r="K94" s="83"/>
      <c r="L94" s="83"/>
      <c r="M94" s="720"/>
      <c r="N94" s="83"/>
      <c r="O94" s="83"/>
      <c r="P94" s="83"/>
      <c r="Q94" s="83"/>
      <c r="R94" s="83"/>
      <c r="S94" s="340"/>
      <c r="T94" s="340"/>
      <c r="U94" s="340"/>
      <c r="Z94" s="392"/>
    </row>
    <row r="95" spans="1:26" ht="12.75">
      <c r="A95" s="391"/>
      <c r="B95" s="176"/>
      <c r="C95" s="176"/>
      <c r="D95" s="176"/>
      <c r="E95" s="176"/>
      <c r="F95" s="176"/>
      <c r="G95" s="176"/>
      <c r="H95" s="176"/>
      <c r="I95" s="176"/>
      <c r="J95" s="176"/>
      <c r="K95" s="83"/>
      <c r="L95" s="83"/>
      <c r="M95" s="720"/>
      <c r="N95" s="83"/>
      <c r="O95" s="83"/>
      <c r="P95" s="83"/>
      <c r="Q95" s="83"/>
      <c r="R95" s="83"/>
      <c r="S95" s="340"/>
      <c r="T95" s="340"/>
      <c r="U95" s="340"/>
      <c r="Z95" s="392"/>
    </row>
    <row r="96" spans="1:21" ht="12.75">
      <c r="A96" s="391"/>
      <c r="B96" s="176"/>
      <c r="C96" s="176"/>
      <c r="D96" s="176"/>
      <c r="E96" s="176"/>
      <c r="F96" s="176"/>
      <c r="G96" s="176"/>
      <c r="H96" s="176"/>
      <c r="I96" s="176"/>
      <c r="J96" s="176"/>
      <c r="K96" s="83"/>
      <c r="L96" s="83"/>
      <c r="M96" s="720"/>
      <c r="N96" s="83"/>
      <c r="O96" s="83"/>
      <c r="P96" s="83"/>
      <c r="Q96" s="83"/>
      <c r="R96" s="83"/>
      <c r="S96" s="340"/>
      <c r="T96" s="340"/>
      <c r="U96" s="340"/>
    </row>
    <row r="97" spans="1:21" ht="12.75">
      <c r="A97" s="391"/>
      <c r="B97" s="176"/>
      <c r="C97" s="176"/>
      <c r="D97" s="176"/>
      <c r="E97" s="176"/>
      <c r="F97" s="176"/>
      <c r="G97" s="176"/>
      <c r="H97" s="176"/>
      <c r="I97" s="176"/>
      <c r="J97" s="176"/>
      <c r="K97" s="83"/>
      <c r="L97" s="83"/>
      <c r="M97" s="720"/>
      <c r="N97" s="83"/>
      <c r="O97" s="83"/>
      <c r="P97" s="83"/>
      <c r="Q97" s="83"/>
      <c r="R97" s="83"/>
      <c r="S97" s="340"/>
      <c r="T97" s="340"/>
      <c r="U97" s="340"/>
    </row>
    <row r="98" spans="1:154" s="448" customFormat="1" ht="12.75">
      <c r="A98" s="391"/>
      <c r="B98" s="391"/>
      <c r="C98" s="391"/>
      <c r="D98" s="391"/>
      <c r="E98" s="391"/>
      <c r="F98" s="391"/>
      <c r="G98" s="391"/>
      <c r="H98" s="391"/>
      <c r="I98" s="391"/>
      <c r="J98" s="391"/>
      <c r="K98" s="722"/>
      <c r="L98" s="722"/>
      <c r="M98" s="723"/>
      <c r="N98" s="722"/>
      <c r="O98" s="722"/>
      <c r="P98" s="722"/>
      <c r="Q98" s="722"/>
      <c r="R98" s="722"/>
      <c r="S98" s="724"/>
      <c r="T98" s="724"/>
      <c r="U98" s="724"/>
      <c r="V98" s="391"/>
      <c r="W98" s="391"/>
      <c r="X98" s="391"/>
      <c r="Y98" s="391"/>
      <c r="Z98" s="391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5"/>
      <c r="AL98" s="445"/>
      <c r="AM98" s="445"/>
      <c r="AN98" s="445"/>
      <c r="AO98" s="445"/>
      <c r="AP98" s="445"/>
      <c r="AQ98" s="445"/>
      <c r="AR98" s="445"/>
      <c r="AS98" s="445"/>
      <c r="AT98" s="445"/>
      <c r="AU98" s="445"/>
      <c r="AV98" s="445"/>
      <c r="AW98" s="445"/>
      <c r="AX98" s="445"/>
      <c r="AY98" s="445"/>
      <c r="AZ98" s="445"/>
      <c r="BA98" s="445"/>
      <c r="BB98" s="445"/>
      <c r="BC98" s="445"/>
      <c r="BD98" s="445"/>
      <c r="BE98" s="449"/>
      <c r="BF98" s="449"/>
      <c r="BG98" s="449"/>
      <c r="BH98" s="449"/>
      <c r="BI98" s="450"/>
      <c r="BJ98" s="450"/>
      <c r="BK98" s="450"/>
      <c r="BL98" s="450"/>
      <c r="BM98" s="450"/>
      <c r="BN98" s="450"/>
      <c r="BO98" s="450"/>
      <c r="BP98" s="450"/>
      <c r="BQ98" s="450"/>
      <c r="BR98" s="450"/>
      <c r="BS98" s="450"/>
      <c r="BT98" s="450"/>
      <c r="BU98" s="450"/>
      <c r="BV98" s="450"/>
      <c r="BW98" s="450"/>
      <c r="BX98" s="450"/>
      <c r="BY98" s="450"/>
      <c r="BZ98" s="450"/>
      <c r="CA98" s="450"/>
      <c r="CB98" s="450"/>
      <c r="CC98" s="450"/>
      <c r="CD98" s="450"/>
      <c r="CE98" s="450"/>
      <c r="CF98" s="450"/>
      <c r="CG98" s="450"/>
      <c r="CH98" s="450"/>
      <c r="CI98" s="450"/>
      <c r="CJ98" s="450"/>
      <c r="CK98" s="450"/>
      <c r="CL98" s="450"/>
      <c r="CM98" s="450"/>
      <c r="CN98" s="450"/>
      <c r="CO98" s="450"/>
      <c r="CP98" s="450"/>
      <c r="CQ98" s="450"/>
      <c r="CR98" s="450"/>
      <c r="CS98" s="450"/>
      <c r="CT98" s="450"/>
      <c r="CU98" s="450"/>
      <c r="CV98" s="450"/>
      <c r="CW98" s="450"/>
      <c r="CX98" s="450"/>
      <c r="CY98" s="450"/>
      <c r="CZ98" s="450"/>
      <c r="DA98" s="450"/>
      <c r="DB98" s="450"/>
      <c r="DC98" s="450"/>
      <c r="DD98" s="450"/>
      <c r="DE98" s="450"/>
      <c r="DF98" s="450"/>
      <c r="DG98" s="450"/>
      <c r="DH98" s="450"/>
      <c r="DI98" s="450"/>
      <c r="DJ98" s="450"/>
      <c r="DK98" s="450"/>
      <c r="DL98" s="450"/>
      <c r="DM98" s="450"/>
      <c r="DN98" s="450"/>
      <c r="DO98" s="450"/>
      <c r="DP98" s="450"/>
      <c r="DQ98" s="450"/>
      <c r="DR98" s="450"/>
      <c r="DS98" s="450"/>
      <c r="DT98" s="450"/>
      <c r="DU98" s="450"/>
      <c r="DV98" s="450"/>
      <c r="DW98" s="450"/>
      <c r="DX98" s="450"/>
      <c r="DY98" s="450"/>
      <c r="DZ98" s="450"/>
      <c r="EA98" s="450"/>
      <c r="EB98" s="450"/>
      <c r="EC98" s="450"/>
      <c r="ED98" s="450"/>
      <c r="EE98" s="450"/>
      <c r="EF98" s="450"/>
      <c r="EG98" s="450"/>
      <c r="EH98" s="450"/>
      <c r="EI98" s="450"/>
      <c r="EJ98" s="450"/>
      <c r="EK98" s="450"/>
      <c r="EL98" s="450"/>
      <c r="EM98" s="450"/>
      <c r="EN98" s="450"/>
      <c r="EO98" s="450"/>
      <c r="EP98" s="450"/>
      <c r="EQ98" s="450"/>
      <c r="ER98" s="450"/>
      <c r="ES98" s="450"/>
      <c r="ET98" s="450"/>
      <c r="EU98" s="450"/>
      <c r="EV98" s="450"/>
      <c r="EW98" s="450"/>
      <c r="EX98" s="450"/>
    </row>
    <row r="99" spans="1:21" ht="12.75">
      <c r="A99" s="391"/>
      <c r="B99" s="176"/>
      <c r="C99" s="176"/>
      <c r="D99" s="176"/>
      <c r="E99" s="176"/>
      <c r="F99" s="176"/>
      <c r="G99" s="176"/>
      <c r="H99" s="176"/>
      <c r="I99" s="176"/>
      <c r="J99" s="176"/>
      <c r="K99" s="83"/>
      <c r="L99" s="83"/>
      <c r="M99" s="720"/>
      <c r="N99" s="83"/>
      <c r="O99" s="83"/>
      <c r="P99" s="83"/>
      <c r="Q99" s="83"/>
      <c r="R99" s="83"/>
      <c r="S99" s="340"/>
      <c r="T99" s="340"/>
      <c r="U99" s="340"/>
    </row>
    <row r="100" spans="1:154" s="446" customFormat="1" ht="12.75">
      <c r="A100" s="391"/>
      <c r="B100" s="216"/>
      <c r="C100" s="176"/>
      <c r="D100" s="176"/>
      <c r="E100" s="176"/>
      <c r="F100" s="176"/>
      <c r="G100" s="176"/>
      <c r="H100" s="176"/>
      <c r="I100" s="176"/>
      <c r="J100" s="176"/>
      <c r="K100" s="83"/>
      <c r="L100" s="83"/>
      <c r="M100" s="720"/>
      <c r="N100" s="83"/>
      <c r="O100" s="83"/>
      <c r="P100" s="83"/>
      <c r="Q100" s="83"/>
      <c r="R100" s="83"/>
      <c r="S100" s="340"/>
      <c r="T100" s="340"/>
      <c r="U100" s="340"/>
      <c r="V100" s="176"/>
      <c r="W100" s="176"/>
      <c r="X100" s="176"/>
      <c r="Y100" s="176"/>
      <c r="Z100" s="176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447"/>
      <c r="BF100" s="447"/>
      <c r="BG100" s="447"/>
      <c r="BH100" s="447"/>
      <c r="BI100" s="372"/>
      <c r="BJ100" s="372"/>
      <c r="BK100" s="372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2"/>
      <c r="CL100" s="372"/>
      <c r="CM100" s="372"/>
      <c r="CN100" s="372"/>
      <c r="CO100" s="372"/>
      <c r="CP100" s="372"/>
      <c r="CQ100" s="372"/>
      <c r="CR100" s="372"/>
      <c r="CS100" s="372"/>
      <c r="CT100" s="372"/>
      <c r="CU100" s="372"/>
      <c r="CV100" s="372"/>
      <c r="CW100" s="372"/>
      <c r="CX100" s="372"/>
      <c r="CY100" s="372"/>
      <c r="CZ100" s="372"/>
      <c r="DA100" s="372"/>
      <c r="DB100" s="372"/>
      <c r="DC100" s="372"/>
      <c r="DD100" s="372"/>
      <c r="DE100" s="372"/>
      <c r="DF100" s="372"/>
      <c r="DG100" s="372"/>
      <c r="DH100" s="372"/>
      <c r="DI100" s="372"/>
      <c r="DJ100" s="372"/>
      <c r="DK100" s="372"/>
      <c r="DL100" s="372"/>
      <c r="DM100" s="372"/>
      <c r="DN100" s="372"/>
      <c r="DO100" s="372"/>
      <c r="DP100" s="372"/>
      <c r="DQ100" s="372"/>
      <c r="DR100" s="372"/>
      <c r="DS100" s="372"/>
      <c r="DT100" s="372"/>
      <c r="DU100" s="372"/>
      <c r="DV100" s="372"/>
      <c r="DW100" s="372"/>
      <c r="DX100" s="372"/>
      <c r="DY100" s="372"/>
      <c r="DZ100" s="372"/>
      <c r="EA100" s="372"/>
      <c r="EB100" s="372"/>
      <c r="EC100" s="372"/>
      <c r="ED100" s="372"/>
      <c r="EE100" s="372"/>
      <c r="EF100" s="372"/>
      <c r="EG100" s="372"/>
      <c r="EH100" s="372"/>
      <c r="EI100" s="372"/>
      <c r="EJ100" s="372"/>
      <c r="EK100" s="372"/>
      <c r="EL100" s="372"/>
      <c r="EM100" s="372"/>
      <c r="EN100" s="372"/>
      <c r="EO100" s="372"/>
      <c r="EP100" s="372"/>
      <c r="EQ100" s="372"/>
      <c r="ER100" s="372"/>
      <c r="ES100" s="372"/>
      <c r="ET100" s="372"/>
      <c r="EU100" s="372"/>
      <c r="EV100" s="372"/>
      <c r="EW100" s="372"/>
      <c r="EX100" s="372"/>
    </row>
    <row r="101" spans="1:21" ht="13.5" customHeight="1">
      <c r="A101" s="391"/>
      <c r="B101" s="176"/>
      <c r="C101" s="176"/>
      <c r="D101" s="176"/>
      <c r="E101" s="176"/>
      <c r="F101" s="176"/>
      <c r="G101" s="176"/>
      <c r="H101" s="176"/>
      <c r="I101" s="176"/>
      <c r="J101" s="176"/>
      <c r="K101" s="83"/>
      <c r="L101" s="83"/>
      <c r="M101" s="720"/>
      <c r="N101" s="83"/>
      <c r="O101" s="83"/>
      <c r="P101" s="83"/>
      <c r="Q101" s="83"/>
      <c r="R101" s="83"/>
      <c r="S101" s="340"/>
      <c r="T101" s="340"/>
      <c r="U101" s="340"/>
    </row>
    <row r="102" spans="1:154" s="446" customFormat="1" ht="12.75">
      <c r="A102" s="391"/>
      <c r="B102" s="216"/>
      <c r="C102" s="176"/>
      <c r="D102" s="176"/>
      <c r="E102" s="176"/>
      <c r="F102" s="176"/>
      <c r="G102" s="176"/>
      <c r="H102" s="176"/>
      <c r="I102" s="176"/>
      <c r="J102" s="176"/>
      <c r="K102" s="83"/>
      <c r="L102" s="83"/>
      <c r="M102" s="720"/>
      <c r="N102" s="83"/>
      <c r="O102" s="83"/>
      <c r="P102" s="83"/>
      <c r="Q102" s="83"/>
      <c r="R102" s="83"/>
      <c r="S102" s="340"/>
      <c r="T102" s="340"/>
      <c r="U102" s="340"/>
      <c r="V102" s="176"/>
      <c r="W102" s="176"/>
      <c r="X102" s="176"/>
      <c r="Y102" s="176"/>
      <c r="Z102" s="176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388"/>
      <c r="AL102" s="388"/>
      <c r="AM102" s="388"/>
      <c r="AN102" s="388"/>
      <c r="AO102" s="388"/>
      <c r="AP102" s="388"/>
      <c r="AQ102" s="388"/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447"/>
      <c r="BF102" s="447"/>
      <c r="BG102" s="447"/>
      <c r="BH102" s="447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2"/>
      <c r="CH102" s="372"/>
      <c r="CI102" s="372"/>
      <c r="CJ102" s="372"/>
      <c r="CK102" s="372"/>
      <c r="CL102" s="372"/>
      <c r="CM102" s="372"/>
      <c r="CN102" s="372"/>
      <c r="CO102" s="372"/>
      <c r="CP102" s="372"/>
      <c r="CQ102" s="372"/>
      <c r="CR102" s="372"/>
      <c r="CS102" s="372"/>
      <c r="CT102" s="372"/>
      <c r="CU102" s="372"/>
      <c r="CV102" s="372"/>
      <c r="CW102" s="372"/>
      <c r="CX102" s="372"/>
      <c r="CY102" s="372"/>
      <c r="CZ102" s="372"/>
      <c r="DA102" s="372"/>
      <c r="DB102" s="372"/>
      <c r="DC102" s="372"/>
      <c r="DD102" s="372"/>
      <c r="DE102" s="372"/>
      <c r="DF102" s="372"/>
      <c r="DG102" s="372"/>
      <c r="DH102" s="372"/>
      <c r="DI102" s="372"/>
      <c r="DJ102" s="372"/>
      <c r="DK102" s="372"/>
      <c r="DL102" s="372"/>
      <c r="DM102" s="372"/>
      <c r="DN102" s="372"/>
      <c r="DO102" s="372"/>
      <c r="DP102" s="372"/>
      <c r="DQ102" s="372"/>
      <c r="DR102" s="372"/>
      <c r="DS102" s="372"/>
      <c r="DT102" s="372"/>
      <c r="DU102" s="372"/>
      <c r="DV102" s="372"/>
      <c r="DW102" s="372"/>
      <c r="DX102" s="372"/>
      <c r="DY102" s="372"/>
      <c r="DZ102" s="372"/>
      <c r="EA102" s="372"/>
      <c r="EB102" s="372"/>
      <c r="EC102" s="372"/>
      <c r="ED102" s="372"/>
      <c r="EE102" s="372"/>
      <c r="EF102" s="372"/>
      <c r="EG102" s="372"/>
      <c r="EH102" s="372"/>
      <c r="EI102" s="372"/>
      <c r="EJ102" s="372"/>
      <c r="EK102" s="372"/>
      <c r="EL102" s="372"/>
      <c r="EM102" s="372"/>
      <c r="EN102" s="372"/>
      <c r="EO102" s="372"/>
      <c r="EP102" s="372"/>
      <c r="EQ102" s="372"/>
      <c r="ER102" s="372"/>
      <c r="ES102" s="372"/>
      <c r="ET102" s="372"/>
      <c r="EU102" s="372"/>
      <c r="EV102" s="372"/>
      <c r="EW102" s="372"/>
      <c r="EX102" s="372"/>
    </row>
    <row r="103" spans="1:21" ht="12.75">
      <c r="A103" s="391"/>
      <c r="B103" s="176"/>
      <c r="C103" s="176"/>
      <c r="D103" s="176"/>
      <c r="E103" s="176"/>
      <c r="F103" s="176"/>
      <c r="G103" s="176"/>
      <c r="H103" s="176"/>
      <c r="I103" s="176"/>
      <c r="J103" s="176"/>
      <c r="K103" s="83"/>
      <c r="L103" s="83"/>
      <c r="M103" s="720"/>
      <c r="N103" s="83"/>
      <c r="O103" s="83"/>
      <c r="P103" s="83"/>
      <c r="Q103" s="83"/>
      <c r="R103" s="83"/>
      <c r="S103" s="340"/>
      <c r="T103" s="340"/>
      <c r="U103" s="340"/>
    </row>
    <row r="104" spans="1:154" s="446" customFormat="1" ht="12.75">
      <c r="A104" s="391"/>
      <c r="B104" s="216"/>
      <c r="C104" s="176"/>
      <c r="D104" s="176"/>
      <c r="E104" s="176"/>
      <c r="F104" s="176"/>
      <c r="G104" s="176"/>
      <c r="H104" s="176"/>
      <c r="I104" s="176"/>
      <c r="J104" s="176"/>
      <c r="K104" s="83"/>
      <c r="L104" s="83"/>
      <c r="M104" s="720"/>
      <c r="N104" s="83"/>
      <c r="O104" s="83"/>
      <c r="P104" s="83"/>
      <c r="Q104" s="83"/>
      <c r="R104" s="83"/>
      <c r="S104" s="340"/>
      <c r="T104" s="340"/>
      <c r="U104" s="340"/>
      <c r="V104" s="176"/>
      <c r="W104" s="176"/>
      <c r="X104" s="176"/>
      <c r="Y104" s="176"/>
      <c r="Z104" s="176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/>
      <c r="AM104" s="388"/>
      <c r="AN104" s="388"/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447"/>
      <c r="BF104" s="447"/>
      <c r="BG104" s="447"/>
      <c r="BH104" s="447"/>
      <c r="BI104" s="372"/>
      <c r="BJ104" s="372"/>
      <c r="BK104" s="372"/>
      <c r="BL104" s="372"/>
      <c r="BM104" s="372"/>
      <c r="BN104" s="372"/>
      <c r="BO104" s="372"/>
      <c r="BP104" s="372"/>
      <c r="BQ104" s="372"/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2"/>
      <c r="CB104" s="372"/>
      <c r="CC104" s="372"/>
      <c r="CD104" s="372"/>
      <c r="CE104" s="372"/>
      <c r="CF104" s="372"/>
      <c r="CG104" s="372"/>
      <c r="CH104" s="372"/>
      <c r="CI104" s="372"/>
      <c r="CJ104" s="372"/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2"/>
      <c r="CU104" s="372"/>
      <c r="CV104" s="372"/>
      <c r="CW104" s="372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2"/>
      <c r="DK104" s="372"/>
      <c r="DL104" s="372"/>
      <c r="DM104" s="372"/>
      <c r="DN104" s="372"/>
      <c r="DO104" s="372"/>
      <c r="DP104" s="372"/>
      <c r="DQ104" s="372"/>
      <c r="DR104" s="372"/>
      <c r="DS104" s="372"/>
      <c r="DT104" s="372"/>
      <c r="DU104" s="372"/>
      <c r="DV104" s="372"/>
      <c r="DW104" s="372"/>
      <c r="DX104" s="372"/>
      <c r="DY104" s="372"/>
      <c r="DZ104" s="372"/>
      <c r="EA104" s="372"/>
      <c r="EB104" s="372"/>
      <c r="EC104" s="372"/>
      <c r="ED104" s="372"/>
      <c r="EE104" s="372"/>
      <c r="EF104" s="372"/>
      <c r="EG104" s="372"/>
      <c r="EH104" s="372"/>
      <c r="EI104" s="372"/>
      <c r="EJ104" s="372"/>
      <c r="EK104" s="372"/>
      <c r="EL104" s="372"/>
      <c r="EM104" s="372"/>
      <c r="EN104" s="372"/>
      <c r="EO104" s="372"/>
      <c r="EP104" s="372"/>
      <c r="EQ104" s="372"/>
      <c r="ER104" s="372"/>
      <c r="ES104" s="372"/>
      <c r="ET104" s="372"/>
      <c r="EU104" s="372"/>
      <c r="EV104" s="372"/>
      <c r="EW104" s="372"/>
      <c r="EX104" s="372"/>
    </row>
    <row r="105" spans="1:21" ht="12.75">
      <c r="A105" s="391"/>
      <c r="B105" s="176"/>
      <c r="C105" s="176"/>
      <c r="D105" s="176"/>
      <c r="E105" s="176"/>
      <c r="F105" s="176"/>
      <c r="G105" s="176"/>
      <c r="H105" s="176"/>
      <c r="I105" s="176"/>
      <c r="J105" s="176"/>
      <c r="K105" s="83"/>
      <c r="L105" s="83"/>
      <c r="M105" s="720"/>
      <c r="N105" s="83"/>
      <c r="O105" s="83"/>
      <c r="P105" s="83"/>
      <c r="Q105" s="83"/>
      <c r="R105" s="83"/>
      <c r="S105" s="340"/>
      <c r="T105" s="340"/>
      <c r="U105" s="340"/>
    </row>
    <row r="106" spans="1:154" s="446" customFormat="1" ht="12.75">
      <c r="A106" s="391"/>
      <c r="B106" s="216"/>
      <c r="C106" s="176"/>
      <c r="D106" s="176"/>
      <c r="E106" s="176"/>
      <c r="F106" s="176"/>
      <c r="G106" s="176"/>
      <c r="H106" s="176"/>
      <c r="I106" s="176"/>
      <c r="J106" s="176"/>
      <c r="K106" s="83"/>
      <c r="L106" s="83"/>
      <c r="M106" s="720"/>
      <c r="N106" s="83"/>
      <c r="O106" s="83"/>
      <c r="P106" s="83"/>
      <c r="Q106" s="83"/>
      <c r="R106" s="83"/>
      <c r="S106" s="340"/>
      <c r="T106" s="340"/>
      <c r="U106" s="340"/>
      <c r="V106" s="176"/>
      <c r="W106" s="176"/>
      <c r="X106" s="176"/>
      <c r="Y106" s="176"/>
      <c r="Z106" s="176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447"/>
      <c r="BF106" s="447"/>
      <c r="BG106" s="447"/>
      <c r="BH106" s="447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  <c r="CF106" s="372"/>
      <c r="CG106" s="372"/>
      <c r="CH106" s="372"/>
      <c r="CI106" s="372"/>
      <c r="CJ106" s="372"/>
      <c r="CK106" s="372"/>
      <c r="CL106" s="372"/>
      <c r="CM106" s="372"/>
      <c r="CN106" s="372"/>
      <c r="CO106" s="372"/>
      <c r="CP106" s="372"/>
      <c r="CQ106" s="372"/>
      <c r="CR106" s="372"/>
      <c r="CS106" s="372"/>
      <c r="CT106" s="372"/>
      <c r="CU106" s="372"/>
      <c r="CV106" s="372"/>
      <c r="CW106" s="372"/>
      <c r="CX106" s="372"/>
      <c r="CY106" s="372"/>
      <c r="CZ106" s="372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2"/>
      <c r="DK106" s="372"/>
      <c r="DL106" s="372"/>
      <c r="DM106" s="372"/>
      <c r="DN106" s="372"/>
      <c r="DO106" s="372"/>
      <c r="DP106" s="372"/>
      <c r="DQ106" s="372"/>
      <c r="DR106" s="372"/>
      <c r="DS106" s="372"/>
      <c r="DT106" s="372"/>
      <c r="DU106" s="372"/>
      <c r="DV106" s="372"/>
      <c r="DW106" s="372"/>
      <c r="DX106" s="372"/>
      <c r="DY106" s="372"/>
      <c r="DZ106" s="372"/>
      <c r="EA106" s="372"/>
      <c r="EB106" s="372"/>
      <c r="EC106" s="372"/>
      <c r="ED106" s="372"/>
      <c r="EE106" s="372"/>
      <c r="EF106" s="372"/>
      <c r="EG106" s="372"/>
      <c r="EH106" s="372"/>
      <c r="EI106" s="372"/>
      <c r="EJ106" s="372"/>
      <c r="EK106" s="372"/>
      <c r="EL106" s="372"/>
      <c r="EM106" s="372"/>
      <c r="EN106" s="372"/>
      <c r="EO106" s="372"/>
      <c r="EP106" s="372"/>
      <c r="EQ106" s="372"/>
      <c r="ER106" s="372"/>
      <c r="ES106" s="372"/>
      <c r="ET106" s="372"/>
      <c r="EU106" s="372"/>
      <c r="EV106" s="372"/>
      <c r="EW106" s="372"/>
      <c r="EX106" s="372"/>
    </row>
    <row r="107" spans="1:21" ht="12.75">
      <c r="A107" s="391"/>
      <c r="B107" s="176"/>
      <c r="C107" s="176"/>
      <c r="D107" s="176"/>
      <c r="E107" s="176"/>
      <c r="F107" s="176"/>
      <c r="G107" s="176"/>
      <c r="H107" s="176"/>
      <c r="I107" s="176"/>
      <c r="J107" s="176"/>
      <c r="K107" s="83"/>
      <c r="L107" s="83"/>
      <c r="M107" s="720"/>
      <c r="N107" s="83"/>
      <c r="O107" s="83"/>
      <c r="P107" s="83"/>
      <c r="Q107" s="83"/>
      <c r="R107" s="83"/>
      <c r="S107" s="340"/>
      <c r="T107" s="340"/>
      <c r="U107" s="340"/>
    </row>
    <row r="108" spans="1:21" ht="12.75">
      <c r="A108" s="391"/>
      <c r="B108" s="216"/>
      <c r="C108" s="176"/>
      <c r="D108" s="176"/>
      <c r="E108" s="176"/>
      <c r="F108" s="176"/>
      <c r="G108" s="176"/>
      <c r="H108" s="176"/>
      <c r="I108" s="176"/>
      <c r="J108" s="176"/>
      <c r="K108" s="83"/>
      <c r="L108" s="83"/>
      <c r="M108" s="720"/>
      <c r="N108" s="83"/>
      <c r="O108" s="83"/>
      <c r="P108" s="83"/>
      <c r="Q108" s="83"/>
      <c r="R108" s="83"/>
      <c r="S108" s="340"/>
      <c r="T108" s="340"/>
      <c r="U108" s="340"/>
    </row>
    <row r="109" spans="1:21" ht="12.75">
      <c r="A109" s="391"/>
      <c r="B109" s="176"/>
      <c r="C109" s="176"/>
      <c r="D109" s="176"/>
      <c r="E109" s="176"/>
      <c r="F109" s="176"/>
      <c r="G109" s="176"/>
      <c r="H109" s="176"/>
      <c r="I109" s="176"/>
      <c r="J109" s="176"/>
      <c r="K109" s="83"/>
      <c r="L109" s="83"/>
      <c r="M109" s="720"/>
      <c r="N109" s="83"/>
      <c r="O109" s="83"/>
      <c r="P109" s="83"/>
      <c r="Q109" s="83"/>
      <c r="R109" s="83"/>
      <c r="S109" s="340"/>
      <c r="T109" s="340"/>
      <c r="U109" s="340"/>
    </row>
    <row r="110" spans="1:21" ht="12.75">
      <c r="A110" s="391"/>
      <c r="B110" s="176"/>
      <c r="C110" s="176"/>
      <c r="D110" s="176"/>
      <c r="E110" s="176"/>
      <c r="F110" s="176"/>
      <c r="G110" s="176"/>
      <c r="H110" s="176"/>
      <c r="I110" s="176"/>
      <c r="J110" s="176"/>
      <c r="K110" s="83"/>
      <c r="L110" s="83"/>
      <c r="M110" s="720"/>
      <c r="N110" s="83"/>
      <c r="O110" s="83"/>
      <c r="P110" s="83"/>
      <c r="Q110" s="83"/>
      <c r="R110" s="83"/>
      <c r="S110" s="340"/>
      <c r="T110" s="340"/>
      <c r="U110" s="340"/>
    </row>
    <row r="111" spans="1:21" ht="12.75">
      <c r="A111" s="391"/>
      <c r="B111" s="176"/>
      <c r="C111" s="176"/>
      <c r="D111" s="176"/>
      <c r="E111" s="176"/>
      <c r="F111" s="176"/>
      <c r="G111" s="176"/>
      <c r="H111" s="176"/>
      <c r="I111" s="176"/>
      <c r="J111" s="176"/>
      <c r="K111" s="83"/>
      <c r="L111" s="83"/>
      <c r="M111" s="720"/>
      <c r="N111" s="83"/>
      <c r="O111" s="83"/>
      <c r="P111" s="83"/>
      <c r="Q111" s="83"/>
      <c r="R111" s="83"/>
      <c r="S111" s="340"/>
      <c r="T111" s="340"/>
      <c r="U111" s="340"/>
    </row>
    <row r="112" spans="1:21" ht="12.75">
      <c r="A112" s="391"/>
      <c r="B112" s="176"/>
      <c r="C112" s="176"/>
      <c r="D112" s="176"/>
      <c r="E112" s="176"/>
      <c r="F112" s="176"/>
      <c r="G112" s="176"/>
      <c r="H112" s="176"/>
      <c r="I112" s="176"/>
      <c r="J112" s="176"/>
      <c r="K112" s="83"/>
      <c r="L112" s="83"/>
      <c r="M112" s="720"/>
      <c r="N112" s="83"/>
      <c r="O112" s="83"/>
      <c r="P112" s="83"/>
      <c r="Q112" s="83"/>
      <c r="R112" s="83"/>
      <c r="S112" s="340"/>
      <c r="T112" s="340"/>
      <c r="U112" s="340"/>
    </row>
    <row r="113" spans="1:21" ht="12.75">
      <c r="A113" s="391"/>
      <c r="B113" s="176"/>
      <c r="C113" s="176"/>
      <c r="D113" s="176"/>
      <c r="E113" s="176"/>
      <c r="F113" s="176"/>
      <c r="G113" s="176"/>
      <c r="H113" s="176"/>
      <c r="I113" s="176"/>
      <c r="J113" s="176"/>
      <c r="K113" s="83"/>
      <c r="L113" s="83"/>
      <c r="M113" s="720"/>
      <c r="N113" s="83"/>
      <c r="O113" s="83"/>
      <c r="P113" s="83"/>
      <c r="Q113" s="83"/>
      <c r="R113" s="83"/>
      <c r="S113" s="340"/>
      <c r="T113" s="340"/>
      <c r="U113" s="340"/>
    </row>
    <row r="114" spans="1:21" ht="12.75">
      <c r="A114" s="391"/>
      <c r="B114" s="176"/>
      <c r="C114" s="176"/>
      <c r="D114" s="176"/>
      <c r="E114" s="176"/>
      <c r="F114" s="176"/>
      <c r="G114" s="176"/>
      <c r="H114" s="176"/>
      <c r="I114" s="176"/>
      <c r="J114" s="176"/>
      <c r="K114" s="83"/>
      <c r="L114" s="83"/>
      <c r="M114" s="720"/>
      <c r="N114" s="83"/>
      <c r="O114" s="83"/>
      <c r="P114" s="83"/>
      <c r="Q114" s="83"/>
      <c r="R114" s="83"/>
      <c r="S114" s="340"/>
      <c r="T114" s="340"/>
      <c r="U114" s="340"/>
    </row>
    <row r="115" spans="1:21" ht="12.75">
      <c r="A115" s="391"/>
      <c r="B115" s="176"/>
      <c r="C115" s="176"/>
      <c r="D115" s="176"/>
      <c r="E115" s="176"/>
      <c r="F115" s="176"/>
      <c r="G115" s="176"/>
      <c r="H115" s="176"/>
      <c r="I115" s="176"/>
      <c r="J115" s="176"/>
      <c r="K115" s="83"/>
      <c r="L115" s="83"/>
      <c r="M115" s="720"/>
      <c r="N115" s="83"/>
      <c r="O115" s="83"/>
      <c r="P115" s="83"/>
      <c r="Q115" s="83"/>
      <c r="R115" s="83"/>
      <c r="S115" s="340"/>
      <c r="T115" s="340"/>
      <c r="U115" s="340"/>
    </row>
    <row r="116" spans="1:21" ht="12.75">
      <c r="A116" s="391"/>
      <c r="B116" s="176"/>
      <c r="C116" s="176"/>
      <c r="D116" s="176"/>
      <c r="E116" s="176"/>
      <c r="F116" s="176"/>
      <c r="G116" s="176"/>
      <c r="H116" s="176"/>
      <c r="I116" s="176"/>
      <c r="J116" s="176"/>
      <c r="K116" s="83"/>
      <c r="L116" s="83"/>
      <c r="M116" s="720"/>
      <c r="N116" s="83"/>
      <c r="O116" s="83"/>
      <c r="P116" s="83"/>
      <c r="Q116" s="83"/>
      <c r="R116" s="83"/>
      <c r="S116" s="340"/>
      <c r="T116" s="340"/>
      <c r="U116" s="340"/>
    </row>
    <row r="117" spans="1:21" ht="12.75">
      <c r="A117" s="131"/>
      <c r="B117" s="132"/>
      <c r="C117" s="132"/>
      <c r="D117" s="132"/>
      <c r="E117" s="132"/>
      <c r="F117" s="132"/>
      <c r="G117" s="132"/>
      <c r="H117" s="132"/>
      <c r="I117" s="132"/>
      <c r="J117" s="132"/>
      <c r="S117" s="340"/>
      <c r="T117" s="340"/>
      <c r="U117" s="340"/>
    </row>
    <row r="118" spans="1:21" ht="12.75">
      <c r="A118" s="131"/>
      <c r="B118" s="132"/>
      <c r="C118" s="132"/>
      <c r="D118" s="132"/>
      <c r="E118" s="132"/>
      <c r="F118" s="132"/>
      <c r="G118" s="132"/>
      <c r="H118" s="132"/>
      <c r="I118" s="132"/>
      <c r="J118" s="132"/>
      <c r="S118" s="340"/>
      <c r="T118" s="340"/>
      <c r="U118" s="340"/>
    </row>
    <row r="119" spans="1:21" ht="12.75">
      <c r="A119" s="131"/>
      <c r="B119" s="132"/>
      <c r="C119" s="132"/>
      <c r="D119" s="132"/>
      <c r="E119" s="132"/>
      <c r="F119" s="132"/>
      <c r="G119" s="132"/>
      <c r="H119" s="132"/>
      <c r="I119" s="132"/>
      <c r="J119" s="132"/>
      <c r="S119" s="340"/>
      <c r="T119" s="340"/>
      <c r="U119" s="340"/>
    </row>
    <row r="120" spans="1:21" ht="12.75">
      <c r="A120" s="131"/>
      <c r="B120" s="132"/>
      <c r="C120" s="132"/>
      <c r="D120" s="132"/>
      <c r="E120" s="132"/>
      <c r="F120" s="132"/>
      <c r="G120" s="132"/>
      <c r="H120" s="132"/>
      <c r="I120" s="132"/>
      <c r="J120" s="132"/>
      <c r="S120" s="340"/>
      <c r="T120" s="340"/>
      <c r="U120" s="340"/>
    </row>
    <row r="121" spans="1:21" ht="12.75">
      <c r="A121" s="131"/>
      <c r="B121" s="132"/>
      <c r="C121" s="132"/>
      <c r="D121" s="132"/>
      <c r="E121" s="132"/>
      <c r="F121" s="132"/>
      <c r="G121" s="132"/>
      <c r="H121" s="132"/>
      <c r="I121" s="132"/>
      <c r="J121" s="132"/>
      <c r="S121" s="340"/>
      <c r="T121" s="340"/>
      <c r="U121" s="340"/>
    </row>
    <row r="122" spans="1:21" ht="12.75">
      <c r="A122" s="131"/>
      <c r="B122" s="132"/>
      <c r="C122" s="132"/>
      <c r="D122" s="132"/>
      <c r="E122" s="132"/>
      <c r="F122" s="132"/>
      <c r="G122" s="132"/>
      <c r="H122" s="132"/>
      <c r="I122" s="132"/>
      <c r="J122" s="132"/>
      <c r="S122" s="340"/>
      <c r="T122" s="340"/>
      <c r="U122" s="340"/>
    </row>
    <row r="123" spans="1:21" ht="12.75">
      <c r="A123" s="131"/>
      <c r="B123" s="132"/>
      <c r="C123" s="132"/>
      <c r="D123" s="132"/>
      <c r="E123" s="132"/>
      <c r="F123" s="132"/>
      <c r="G123" s="132"/>
      <c r="H123" s="132"/>
      <c r="I123" s="132"/>
      <c r="J123" s="132"/>
      <c r="S123" s="340"/>
      <c r="T123" s="340"/>
      <c r="U123" s="340"/>
    </row>
    <row r="124" spans="1:21" ht="12.75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S124" s="340"/>
      <c r="T124" s="340"/>
      <c r="U124" s="340"/>
    </row>
    <row r="125" spans="1:21" ht="12.75">
      <c r="A125" s="131"/>
      <c r="B125" s="132"/>
      <c r="C125" s="132"/>
      <c r="D125" s="132"/>
      <c r="E125" s="132"/>
      <c r="F125" s="132"/>
      <c r="G125" s="132"/>
      <c r="H125" s="132"/>
      <c r="I125" s="132"/>
      <c r="J125" s="132"/>
      <c r="S125" s="340"/>
      <c r="T125" s="340"/>
      <c r="U125" s="340"/>
    </row>
    <row r="126" spans="1:21" ht="12.75">
      <c r="A126" s="131"/>
      <c r="B126" s="132"/>
      <c r="C126" s="132"/>
      <c r="D126" s="132"/>
      <c r="E126" s="132"/>
      <c r="F126" s="132"/>
      <c r="G126" s="132"/>
      <c r="H126" s="132"/>
      <c r="I126" s="132"/>
      <c r="J126" s="132"/>
      <c r="S126" s="340"/>
      <c r="T126" s="340"/>
      <c r="U126" s="340"/>
    </row>
    <row r="127" spans="1:21" ht="12.75">
      <c r="A127" s="131"/>
      <c r="B127" s="132"/>
      <c r="C127" s="132"/>
      <c r="D127" s="132"/>
      <c r="E127" s="132"/>
      <c r="F127" s="132"/>
      <c r="G127" s="132"/>
      <c r="H127" s="132"/>
      <c r="I127" s="132"/>
      <c r="J127" s="132"/>
      <c r="S127" s="340"/>
      <c r="T127" s="340"/>
      <c r="U127" s="340"/>
    </row>
    <row r="128" spans="1:21" ht="12.75">
      <c r="A128" s="131"/>
      <c r="B128" s="132"/>
      <c r="C128" s="132"/>
      <c r="D128" s="132"/>
      <c r="E128" s="132"/>
      <c r="F128" s="132"/>
      <c r="G128" s="132"/>
      <c r="H128" s="132"/>
      <c r="I128" s="132"/>
      <c r="J128" s="132"/>
      <c r="S128" s="340"/>
      <c r="T128" s="340"/>
      <c r="U128" s="340"/>
    </row>
    <row r="129" spans="1:21" ht="12.75">
      <c r="A129" s="131"/>
      <c r="B129" s="132"/>
      <c r="C129" s="132"/>
      <c r="D129" s="132"/>
      <c r="E129" s="132"/>
      <c r="F129" s="132"/>
      <c r="G129" s="132"/>
      <c r="H129" s="132"/>
      <c r="I129" s="132"/>
      <c r="J129" s="132"/>
      <c r="S129" s="340"/>
      <c r="T129" s="340"/>
      <c r="U129" s="340"/>
    </row>
    <row r="130" spans="1:21" ht="12.75">
      <c r="A130" s="131"/>
      <c r="B130" s="132"/>
      <c r="C130" s="132"/>
      <c r="D130" s="132"/>
      <c r="E130" s="132"/>
      <c r="F130" s="132"/>
      <c r="G130" s="132"/>
      <c r="H130" s="132"/>
      <c r="I130" s="132"/>
      <c r="J130" s="132"/>
      <c r="S130" s="340"/>
      <c r="T130" s="340"/>
      <c r="U130" s="340"/>
    </row>
    <row r="131" spans="1:10" ht="12.75">
      <c r="A131" s="131"/>
      <c r="B131" s="132"/>
      <c r="C131" s="132"/>
      <c r="D131" s="132"/>
      <c r="E131" s="132"/>
      <c r="F131" s="132"/>
      <c r="G131" s="132"/>
      <c r="H131" s="132"/>
      <c r="I131" s="132"/>
      <c r="J131" s="132"/>
    </row>
    <row r="132" spans="1:10" ht="12.75">
      <c r="A132" s="131"/>
      <c r="B132" s="132"/>
      <c r="C132" s="132"/>
      <c r="D132" s="132"/>
      <c r="E132" s="132"/>
      <c r="F132" s="132"/>
      <c r="G132" s="132"/>
      <c r="H132" s="132"/>
      <c r="I132" s="132"/>
      <c r="J132" s="132"/>
    </row>
    <row r="133" spans="1:10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</row>
    <row r="134" spans="1:10" ht="12.75">
      <c r="A134" s="131"/>
      <c r="B134" s="132"/>
      <c r="C134" s="132"/>
      <c r="D134" s="132"/>
      <c r="E134" s="132"/>
      <c r="F134" s="132"/>
      <c r="G134" s="132"/>
      <c r="H134" s="132"/>
      <c r="I134" s="132"/>
      <c r="J134" s="132"/>
    </row>
    <row r="135" spans="1:10" ht="12.75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</row>
    <row r="136" spans="1:10" ht="12.75">
      <c r="A136" s="131"/>
      <c r="B136" s="132"/>
      <c r="C136" s="132"/>
      <c r="D136" s="132"/>
      <c r="E136" s="132"/>
      <c r="F136" s="132"/>
      <c r="G136" s="132"/>
      <c r="H136" s="132"/>
      <c r="I136" s="132"/>
      <c r="J136" s="132"/>
    </row>
    <row r="137" spans="1:10" ht="12.75">
      <c r="A137" s="131"/>
      <c r="B137" s="132"/>
      <c r="C137" s="132"/>
      <c r="D137" s="132"/>
      <c r="E137" s="132"/>
      <c r="F137" s="132"/>
      <c r="G137" s="132"/>
      <c r="H137" s="132"/>
      <c r="I137" s="132"/>
      <c r="J137" s="132"/>
    </row>
    <row r="138" spans="1:10" ht="12.75">
      <c r="A138" s="131"/>
      <c r="B138" s="132"/>
      <c r="C138" s="132"/>
      <c r="D138" s="132"/>
      <c r="E138" s="132"/>
      <c r="F138" s="132"/>
      <c r="G138" s="132"/>
      <c r="H138" s="132"/>
      <c r="I138" s="132"/>
      <c r="J138" s="132"/>
    </row>
    <row r="139" spans="1:10" ht="12.75">
      <c r="A139" s="131"/>
      <c r="B139" s="132"/>
      <c r="C139" s="132"/>
      <c r="D139" s="132"/>
      <c r="E139" s="132"/>
      <c r="F139" s="132"/>
      <c r="G139" s="132"/>
      <c r="H139" s="132"/>
      <c r="I139" s="132"/>
      <c r="J139" s="132"/>
    </row>
    <row r="140" spans="1:10" ht="12.75">
      <c r="A140" s="131"/>
      <c r="B140" s="132"/>
      <c r="C140" s="132"/>
      <c r="D140" s="132"/>
      <c r="E140" s="132"/>
      <c r="F140" s="132"/>
      <c r="G140" s="132"/>
      <c r="H140" s="132"/>
      <c r="I140" s="132"/>
      <c r="J140" s="132"/>
    </row>
    <row r="141" spans="1:10" ht="12.75">
      <c r="A141" s="131"/>
      <c r="B141" s="132"/>
      <c r="C141" s="132"/>
      <c r="D141" s="132"/>
      <c r="E141" s="132"/>
      <c r="F141" s="132"/>
      <c r="G141" s="132"/>
      <c r="H141" s="132"/>
      <c r="I141" s="132"/>
      <c r="J141" s="132"/>
    </row>
    <row r="142" spans="1:10" ht="12.75">
      <c r="A142" s="131"/>
      <c r="B142" s="132"/>
      <c r="C142" s="132"/>
      <c r="D142" s="132"/>
      <c r="E142" s="132"/>
      <c r="F142" s="132"/>
      <c r="G142" s="132"/>
      <c r="H142" s="132"/>
      <c r="I142" s="132"/>
      <c r="J142" s="132"/>
    </row>
    <row r="143" spans="1:10" ht="12.75">
      <c r="A143" s="131"/>
      <c r="B143" s="132"/>
      <c r="C143" s="132"/>
      <c r="D143" s="132"/>
      <c r="E143" s="132"/>
      <c r="F143" s="132"/>
      <c r="G143" s="132"/>
      <c r="H143" s="132"/>
      <c r="I143" s="132"/>
      <c r="J143" s="132"/>
    </row>
    <row r="144" spans="1:10" ht="12.75">
      <c r="A144" s="131"/>
      <c r="B144" s="132"/>
      <c r="C144" s="132"/>
      <c r="D144" s="132"/>
      <c r="E144" s="132"/>
      <c r="F144" s="132"/>
      <c r="G144" s="132"/>
      <c r="H144" s="132"/>
      <c r="I144" s="132"/>
      <c r="J144" s="132"/>
    </row>
    <row r="145" spans="1:10" ht="12.75">
      <c r="A145" s="131"/>
      <c r="B145" s="132"/>
      <c r="C145" s="132"/>
      <c r="D145" s="132"/>
      <c r="E145" s="132"/>
      <c r="F145" s="132"/>
      <c r="G145" s="132"/>
      <c r="H145" s="132"/>
      <c r="I145" s="132"/>
      <c r="J145" s="132"/>
    </row>
    <row r="146" spans="1:10" ht="12.75">
      <c r="A146" s="131"/>
      <c r="B146" s="132"/>
      <c r="C146" s="132"/>
      <c r="D146" s="132"/>
      <c r="E146" s="132"/>
      <c r="F146" s="132"/>
      <c r="G146" s="132"/>
      <c r="H146" s="132"/>
      <c r="I146" s="132"/>
      <c r="J146" s="132"/>
    </row>
    <row r="147" spans="1:10" ht="12.75">
      <c r="A147" s="131"/>
      <c r="B147" s="132"/>
      <c r="C147" s="132"/>
      <c r="D147" s="132"/>
      <c r="E147" s="132"/>
      <c r="F147" s="132"/>
      <c r="G147" s="132"/>
      <c r="H147" s="132"/>
      <c r="I147" s="132"/>
      <c r="J147" s="132"/>
    </row>
    <row r="148" spans="1:10" ht="12.75">
      <c r="A148" s="131"/>
      <c r="B148" s="132"/>
      <c r="C148" s="132"/>
      <c r="D148" s="132"/>
      <c r="E148" s="132"/>
      <c r="F148" s="132"/>
      <c r="G148" s="132"/>
      <c r="H148" s="132"/>
      <c r="I148" s="132"/>
      <c r="J148" s="132"/>
    </row>
    <row r="149" spans="1:10" ht="12.75">
      <c r="A149" s="131"/>
      <c r="B149" s="132"/>
      <c r="C149" s="132"/>
      <c r="D149" s="132"/>
      <c r="E149" s="132"/>
      <c r="F149" s="132"/>
      <c r="G149" s="132"/>
      <c r="H149" s="132"/>
      <c r="I149" s="132"/>
      <c r="J149" s="132"/>
    </row>
    <row r="150" spans="1:10" ht="12.75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</row>
    <row r="151" spans="1:10" ht="12.75">
      <c r="A151" s="131"/>
      <c r="B151" s="132"/>
      <c r="C151" s="132"/>
      <c r="D151" s="132"/>
      <c r="E151" s="132"/>
      <c r="F151" s="132"/>
      <c r="G151" s="132"/>
      <c r="H151" s="132"/>
      <c r="I151" s="132"/>
      <c r="J151" s="132"/>
    </row>
    <row r="152" spans="1:10" ht="12.75">
      <c r="A152" s="131"/>
      <c r="B152" s="132"/>
      <c r="C152" s="132"/>
      <c r="D152" s="132"/>
      <c r="E152" s="132"/>
      <c r="F152" s="132"/>
      <c r="G152" s="132"/>
      <c r="H152" s="132"/>
      <c r="I152" s="132"/>
      <c r="J152" s="132"/>
    </row>
    <row r="153" spans="1:10" ht="12.75">
      <c r="A153" s="131"/>
      <c r="B153" s="132"/>
      <c r="C153" s="132"/>
      <c r="D153" s="132"/>
      <c r="E153" s="132"/>
      <c r="F153" s="132"/>
      <c r="G153" s="132"/>
      <c r="H153" s="132"/>
      <c r="I153" s="132"/>
      <c r="J153" s="132"/>
    </row>
    <row r="154" spans="1:10" ht="12.75">
      <c r="A154" s="131"/>
      <c r="B154" s="132"/>
      <c r="C154" s="132"/>
      <c r="D154" s="132"/>
      <c r="E154" s="132"/>
      <c r="F154" s="132"/>
      <c r="G154" s="132"/>
      <c r="H154" s="132"/>
      <c r="I154" s="132"/>
      <c r="J154" s="132"/>
    </row>
    <row r="155" spans="1:10" ht="12.75">
      <c r="A155" s="131"/>
      <c r="B155" s="132"/>
      <c r="C155" s="132"/>
      <c r="D155" s="132"/>
      <c r="E155" s="132"/>
      <c r="F155" s="132"/>
      <c r="G155" s="132"/>
      <c r="H155" s="132"/>
      <c r="I155" s="132"/>
      <c r="J155" s="132"/>
    </row>
    <row r="156" spans="1:10" ht="12.75">
      <c r="A156" s="131"/>
      <c r="B156" s="132"/>
      <c r="C156" s="132"/>
      <c r="D156" s="132"/>
      <c r="E156" s="132"/>
      <c r="F156" s="132"/>
      <c r="G156" s="132"/>
      <c r="H156" s="132"/>
      <c r="I156" s="132"/>
      <c r="J156" s="132"/>
    </row>
    <row r="157" spans="1:10" ht="12.75">
      <c r="A157" s="131"/>
      <c r="B157" s="132"/>
      <c r="C157" s="132"/>
      <c r="D157" s="132"/>
      <c r="E157" s="132"/>
      <c r="F157" s="132"/>
      <c r="G157" s="132"/>
      <c r="H157" s="132"/>
      <c r="I157" s="132"/>
      <c r="J157" s="132"/>
    </row>
    <row r="158" spans="1:10" ht="12.75">
      <c r="A158" s="131"/>
      <c r="B158" s="132"/>
      <c r="C158" s="132"/>
      <c r="D158" s="132"/>
      <c r="E158" s="132"/>
      <c r="F158" s="132"/>
      <c r="G158" s="132"/>
      <c r="H158" s="132"/>
      <c r="I158" s="132"/>
      <c r="J158" s="132"/>
    </row>
    <row r="159" spans="1:10" ht="12.75">
      <c r="A159" s="131"/>
      <c r="B159" s="132"/>
      <c r="C159" s="132"/>
      <c r="D159" s="132"/>
      <c r="E159" s="132"/>
      <c r="F159" s="132"/>
      <c r="G159" s="132"/>
      <c r="H159" s="132"/>
      <c r="I159" s="132"/>
      <c r="J159" s="132"/>
    </row>
    <row r="160" spans="1:10" ht="12.75">
      <c r="A160" s="131"/>
      <c r="B160" s="132"/>
      <c r="C160" s="132"/>
      <c r="D160" s="132"/>
      <c r="E160" s="132"/>
      <c r="F160" s="132"/>
      <c r="G160" s="132"/>
      <c r="H160" s="132"/>
      <c r="I160" s="132"/>
      <c r="J160" s="132"/>
    </row>
    <row r="161" spans="1:10" ht="12.75">
      <c r="A161" s="131"/>
      <c r="B161" s="132"/>
      <c r="C161" s="132"/>
      <c r="D161" s="132"/>
      <c r="E161" s="132"/>
      <c r="F161" s="132"/>
      <c r="G161" s="132"/>
      <c r="H161" s="132"/>
      <c r="I161" s="132"/>
      <c r="J161" s="132"/>
    </row>
    <row r="162" spans="1:10" ht="12.75">
      <c r="A162" s="131"/>
      <c r="B162" s="132"/>
      <c r="C162" s="132"/>
      <c r="D162" s="132"/>
      <c r="E162" s="132"/>
      <c r="F162" s="132"/>
      <c r="G162" s="132"/>
      <c r="H162" s="132"/>
      <c r="I162" s="132"/>
      <c r="J162" s="132"/>
    </row>
    <row r="163" spans="1:10" ht="12.75">
      <c r="A163" s="131"/>
      <c r="B163" s="132"/>
      <c r="C163" s="132"/>
      <c r="D163" s="132"/>
      <c r="E163" s="132"/>
      <c r="F163" s="132"/>
      <c r="G163" s="132"/>
      <c r="H163" s="132"/>
      <c r="I163" s="132"/>
      <c r="J163" s="132"/>
    </row>
    <row r="164" spans="1:10" ht="12.75">
      <c r="A164" s="131"/>
      <c r="B164" s="132"/>
      <c r="C164" s="132"/>
      <c r="D164" s="132"/>
      <c r="E164" s="132"/>
      <c r="F164" s="132"/>
      <c r="G164" s="132"/>
      <c r="H164" s="132"/>
      <c r="I164" s="132"/>
      <c r="J164" s="132"/>
    </row>
    <row r="165" spans="1:10" ht="12.75">
      <c r="A165" s="131"/>
      <c r="B165" s="132"/>
      <c r="C165" s="132"/>
      <c r="D165" s="132"/>
      <c r="E165" s="132"/>
      <c r="F165" s="132"/>
      <c r="G165" s="132"/>
      <c r="H165" s="132"/>
      <c r="I165" s="132"/>
      <c r="J165" s="132"/>
    </row>
    <row r="166" spans="1:10" ht="12.75">
      <c r="A166" s="131"/>
      <c r="B166" s="132"/>
      <c r="C166" s="132"/>
      <c r="D166" s="132"/>
      <c r="E166" s="132"/>
      <c r="F166" s="132"/>
      <c r="G166" s="132"/>
      <c r="H166" s="132"/>
      <c r="I166" s="132"/>
      <c r="J166" s="132"/>
    </row>
    <row r="167" spans="1:10" ht="12.75">
      <c r="A167" s="131"/>
      <c r="B167" s="132"/>
      <c r="C167" s="132"/>
      <c r="D167" s="132"/>
      <c r="E167" s="132"/>
      <c r="F167" s="132"/>
      <c r="G167" s="132"/>
      <c r="H167" s="132"/>
      <c r="I167" s="132"/>
      <c r="J167" s="132"/>
    </row>
    <row r="168" spans="1:10" ht="12.75">
      <c r="A168" s="131"/>
      <c r="B168" s="132"/>
      <c r="C168" s="132"/>
      <c r="D168" s="132"/>
      <c r="E168" s="132"/>
      <c r="F168" s="132"/>
      <c r="G168" s="132"/>
      <c r="H168" s="132"/>
      <c r="I168" s="132"/>
      <c r="J168" s="132"/>
    </row>
    <row r="169" spans="1:10" ht="12.75">
      <c r="A169" s="131"/>
      <c r="B169" s="132"/>
      <c r="C169" s="132"/>
      <c r="D169" s="132"/>
      <c r="E169" s="132"/>
      <c r="F169" s="132"/>
      <c r="G169" s="132"/>
      <c r="H169" s="132"/>
      <c r="I169" s="132"/>
      <c r="J169" s="132"/>
    </row>
    <row r="170" spans="1:10" ht="12.75">
      <c r="A170" s="131"/>
      <c r="B170" s="132"/>
      <c r="C170" s="132"/>
      <c r="D170" s="132"/>
      <c r="E170" s="132"/>
      <c r="F170" s="132"/>
      <c r="G170" s="132"/>
      <c r="H170" s="132"/>
      <c r="I170" s="132"/>
      <c r="J170" s="132"/>
    </row>
    <row r="171" spans="1:10" ht="12.75">
      <c r="A171" s="131"/>
      <c r="B171" s="132"/>
      <c r="C171" s="132"/>
      <c r="D171" s="132"/>
      <c r="E171" s="132"/>
      <c r="F171" s="132"/>
      <c r="G171" s="132"/>
      <c r="H171" s="132"/>
      <c r="I171" s="132"/>
      <c r="J171" s="132"/>
    </row>
    <row r="172" spans="1:10" ht="12.75">
      <c r="A172" s="131"/>
      <c r="B172" s="132"/>
      <c r="C172" s="132"/>
      <c r="D172" s="132"/>
      <c r="E172" s="132"/>
      <c r="F172" s="132"/>
      <c r="G172" s="132"/>
      <c r="H172" s="132"/>
      <c r="I172" s="132"/>
      <c r="J172" s="132"/>
    </row>
    <row r="173" spans="1:10" ht="12.75">
      <c r="A173" s="131"/>
      <c r="B173" s="132"/>
      <c r="C173" s="132"/>
      <c r="D173" s="132"/>
      <c r="E173" s="132"/>
      <c r="F173" s="132"/>
      <c r="G173" s="132"/>
      <c r="H173" s="132"/>
      <c r="I173" s="132"/>
      <c r="J173" s="132"/>
    </row>
    <row r="174" spans="1:10" ht="12.75">
      <c r="A174" s="131"/>
      <c r="B174" s="132"/>
      <c r="C174" s="132"/>
      <c r="D174" s="132"/>
      <c r="E174" s="132"/>
      <c r="F174" s="132"/>
      <c r="G174" s="132"/>
      <c r="H174" s="132"/>
      <c r="I174" s="132"/>
      <c r="J174" s="132"/>
    </row>
    <row r="175" spans="1:10" ht="12.75">
      <c r="A175" s="131"/>
      <c r="B175" s="132"/>
      <c r="C175" s="132"/>
      <c r="D175" s="132"/>
      <c r="E175" s="132"/>
      <c r="F175" s="132"/>
      <c r="G175" s="132"/>
      <c r="H175" s="132"/>
      <c r="I175" s="132"/>
      <c r="J175" s="132"/>
    </row>
    <row r="176" spans="1:10" ht="12.75">
      <c r="A176" s="131"/>
      <c r="B176" s="132"/>
      <c r="C176" s="132"/>
      <c r="D176" s="132"/>
      <c r="E176" s="132"/>
      <c r="F176" s="132"/>
      <c r="G176" s="132"/>
      <c r="H176" s="132"/>
      <c r="I176" s="132"/>
      <c r="J176" s="132"/>
    </row>
    <row r="177" spans="1:10" ht="12.75">
      <c r="A177" s="131"/>
      <c r="B177" s="132"/>
      <c r="C177" s="132"/>
      <c r="D177" s="132"/>
      <c r="E177" s="132"/>
      <c r="F177" s="132"/>
      <c r="G177" s="132"/>
      <c r="H177" s="132"/>
      <c r="I177" s="132"/>
      <c r="J177" s="132"/>
    </row>
    <row r="178" spans="1:10" ht="12.75">
      <c r="A178" s="131"/>
      <c r="B178" s="132"/>
      <c r="C178" s="132"/>
      <c r="D178" s="132"/>
      <c r="E178" s="132"/>
      <c r="F178" s="132"/>
      <c r="G178" s="132"/>
      <c r="H178" s="132"/>
      <c r="I178" s="132"/>
      <c r="J178" s="132"/>
    </row>
    <row r="179" spans="1:10" ht="12.75">
      <c r="A179" s="131"/>
      <c r="B179" s="132"/>
      <c r="C179" s="132"/>
      <c r="D179" s="132"/>
      <c r="E179" s="132"/>
      <c r="F179" s="132"/>
      <c r="G179" s="132"/>
      <c r="H179" s="132"/>
      <c r="I179" s="132"/>
      <c r="J179" s="132"/>
    </row>
    <row r="180" spans="1:10" ht="12.75">
      <c r="A180" s="131"/>
      <c r="B180" s="132"/>
      <c r="C180" s="132"/>
      <c r="D180" s="132"/>
      <c r="E180" s="132"/>
      <c r="F180" s="132"/>
      <c r="G180" s="132"/>
      <c r="H180" s="132"/>
      <c r="I180" s="132"/>
      <c r="J180" s="132"/>
    </row>
    <row r="181" spans="1:10" ht="12.75">
      <c r="A181" s="131"/>
      <c r="B181" s="132"/>
      <c r="C181" s="132"/>
      <c r="D181" s="132"/>
      <c r="E181" s="132"/>
      <c r="F181" s="132"/>
      <c r="G181" s="132"/>
      <c r="H181" s="132"/>
      <c r="I181" s="132"/>
      <c r="J181" s="132"/>
    </row>
    <row r="182" spans="1:10" ht="12.75">
      <c r="A182" s="131"/>
      <c r="B182" s="132"/>
      <c r="C182" s="132"/>
      <c r="D182" s="132"/>
      <c r="E182" s="132"/>
      <c r="F182" s="132"/>
      <c r="G182" s="132"/>
      <c r="H182" s="132"/>
      <c r="I182" s="132"/>
      <c r="J182" s="132"/>
    </row>
    <row r="183" spans="1:10" ht="12.75">
      <c r="A183" s="131"/>
      <c r="B183" s="132"/>
      <c r="C183" s="132"/>
      <c r="D183" s="132"/>
      <c r="E183" s="132"/>
      <c r="F183" s="132"/>
      <c r="G183" s="132"/>
      <c r="H183" s="132"/>
      <c r="I183" s="132"/>
      <c r="J183" s="132"/>
    </row>
    <row r="184" spans="1:10" ht="12.75">
      <c r="A184" s="131"/>
      <c r="B184" s="132"/>
      <c r="C184" s="132"/>
      <c r="D184" s="132"/>
      <c r="E184" s="132"/>
      <c r="F184" s="132"/>
      <c r="G184" s="132"/>
      <c r="H184" s="132"/>
      <c r="I184" s="132"/>
      <c r="J184" s="132"/>
    </row>
    <row r="185" spans="1:10" ht="12.75">
      <c r="A185" s="131"/>
      <c r="B185" s="132"/>
      <c r="C185" s="132"/>
      <c r="D185" s="132"/>
      <c r="E185" s="132"/>
      <c r="F185" s="132"/>
      <c r="G185" s="132"/>
      <c r="H185" s="132"/>
      <c r="I185" s="132"/>
      <c r="J185" s="132"/>
    </row>
    <row r="186" spans="1:10" ht="12.75">
      <c r="A186" s="131"/>
      <c r="B186" s="132"/>
      <c r="C186" s="132"/>
      <c r="D186" s="132"/>
      <c r="E186" s="132"/>
      <c r="F186" s="132"/>
      <c r="G186" s="132"/>
      <c r="H186" s="132"/>
      <c r="I186" s="132"/>
      <c r="J186" s="132"/>
    </row>
    <row r="187" spans="1:25" ht="12.75">
      <c r="A187" s="131"/>
      <c r="B187" s="132"/>
      <c r="C187" s="132"/>
      <c r="D187" s="132"/>
      <c r="E187" s="132"/>
      <c r="F187" s="132"/>
      <c r="G187" s="132"/>
      <c r="H187" s="132"/>
      <c r="I187" s="132"/>
      <c r="J187" s="132"/>
      <c r="Y187" s="216"/>
    </row>
    <row r="188" spans="1:10" ht="12.75">
      <c r="A188" s="131"/>
      <c r="B188" s="132"/>
      <c r="C188" s="132"/>
      <c r="D188" s="132"/>
      <c r="E188" s="132"/>
      <c r="F188" s="132"/>
      <c r="G188" s="132"/>
      <c r="H188" s="132"/>
      <c r="I188" s="132"/>
      <c r="J188" s="132"/>
    </row>
    <row r="189" spans="1:10" ht="12.75">
      <c r="A189" s="131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0" ht="12.75">
      <c r="A190" s="131"/>
      <c r="B190" s="132"/>
      <c r="C190" s="132"/>
      <c r="D190" s="132"/>
      <c r="E190" s="132"/>
      <c r="F190" s="132"/>
      <c r="G190" s="132"/>
      <c r="H190" s="132"/>
      <c r="I190" s="132"/>
      <c r="J190" s="132"/>
    </row>
    <row r="191" spans="1:10" ht="12.75">
      <c r="A191" s="131"/>
      <c r="B191" s="132"/>
      <c r="C191" s="132"/>
      <c r="D191" s="132"/>
      <c r="E191" s="132"/>
      <c r="F191" s="132"/>
      <c r="G191" s="132"/>
      <c r="H191" s="132"/>
      <c r="I191" s="132"/>
      <c r="J191" s="132"/>
    </row>
    <row r="192" spans="1:10" ht="12.75">
      <c r="A192" s="131"/>
      <c r="B192" s="132"/>
      <c r="C192" s="132"/>
      <c r="D192" s="132"/>
      <c r="E192" s="132"/>
      <c r="F192" s="132"/>
      <c r="G192" s="132"/>
      <c r="H192" s="132"/>
      <c r="I192" s="132"/>
      <c r="J192" s="132"/>
    </row>
    <row r="193" spans="1:10" ht="12.75">
      <c r="A193" s="131"/>
      <c r="B193" s="132"/>
      <c r="C193" s="132"/>
      <c r="D193" s="132"/>
      <c r="E193" s="132"/>
      <c r="F193" s="132"/>
      <c r="G193" s="132"/>
      <c r="H193" s="132"/>
      <c r="I193" s="132"/>
      <c r="J193" s="132"/>
    </row>
    <row r="194" spans="1:10" ht="12.75">
      <c r="A194" s="131"/>
      <c r="B194" s="132"/>
      <c r="C194" s="132"/>
      <c r="D194" s="132"/>
      <c r="E194" s="132"/>
      <c r="F194" s="132"/>
      <c r="G194" s="132"/>
      <c r="H194" s="132"/>
      <c r="I194" s="132"/>
      <c r="J194" s="132"/>
    </row>
    <row r="195" spans="1:10" ht="12.75">
      <c r="A195" s="131"/>
      <c r="B195" s="132"/>
      <c r="C195" s="132"/>
      <c r="D195" s="132"/>
      <c r="E195" s="132"/>
      <c r="F195" s="132"/>
      <c r="G195" s="132"/>
      <c r="H195" s="132"/>
      <c r="I195" s="132"/>
      <c r="J195" s="132"/>
    </row>
    <row r="196" spans="1:10" ht="12.75">
      <c r="A196" s="131"/>
      <c r="B196" s="132"/>
      <c r="C196" s="132"/>
      <c r="D196" s="132"/>
      <c r="E196" s="132"/>
      <c r="F196" s="132"/>
      <c r="G196" s="132"/>
      <c r="H196" s="132"/>
      <c r="I196" s="132"/>
      <c r="J196" s="132"/>
    </row>
    <row r="197" spans="1:25" ht="12.75">
      <c r="A197" s="131"/>
      <c r="B197" s="132"/>
      <c r="C197" s="132"/>
      <c r="D197" s="132"/>
      <c r="E197" s="132"/>
      <c r="F197" s="132"/>
      <c r="G197" s="132"/>
      <c r="H197" s="132"/>
      <c r="I197" s="132"/>
      <c r="J197" s="132"/>
      <c r="Y197" s="216"/>
    </row>
    <row r="198" spans="1:10" ht="12.75">
      <c r="A198" s="131"/>
      <c r="B198" s="132"/>
      <c r="C198" s="132"/>
      <c r="D198" s="132"/>
      <c r="E198" s="132"/>
      <c r="F198" s="132"/>
      <c r="G198" s="132"/>
      <c r="H198" s="132"/>
      <c r="I198" s="132"/>
      <c r="J198" s="132"/>
    </row>
    <row r="199" spans="1:10" ht="12.75">
      <c r="A199" s="131"/>
      <c r="B199" s="132"/>
      <c r="C199" s="132"/>
      <c r="D199" s="132"/>
      <c r="E199" s="132"/>
      <c r="F199" s="132"/>
      <c r="G199" s="132"/>
      <c r="H199" s="132"/>
      <c r="I199" s="132"/>
      <c r="J199" s="132"/>
    </row>
    <row r="200" spans="1:10" ht="12.75">
      <c r="A200" s="131"/>
      <c r="B200" s="132"/>
      <c r="C200" s="132"/>
      <c r="D200" s="132"/>
      <c r="E200" s="132"/>
      <c r="F200" s="132"/>
      <c r="G200" s="132"/>
      <c r="H200" s="132"/>
      <c r="I200" s="132"/>
      <c r="J200" s="132"/>
    </row>
    <row r="201" spans="1:10" ht="12.75">
      <c r="A201" s="131"/>
      <c r="B201" s="132"/>
      <c r="C201" s="132"/>
      <c r="D201" s="132"/>
      <c r="E201" s="132"/>
      <c r="F201" s="132"/>
      <c r="G201" s="132"/>
      <c r="H201" s="132"/>
      <c r="I201" s="132"/>
      <c r="J201" s="132"/>
    </row>
    <row r="202" spans="1:10" ht="12.75">
      <c r="A202" s="131"/>
      <c r="B202" s="132"/>
      <c r="C202" s="132"/>
      <c r="D202" s="132"/>
      <c r="E202" s="132"/>
      <c r="F202" s="132"/>
      <c r="G202" s="132"/>
      <c r="H202" s="132"/>
      <c r="I202" s="132"/>
      <c r="J202" s="132"/>
    </row>
    <row r="203" spans="1:10" ht="12.75">
      <c r="A203" s="131"/>
      <c r="B203" s="132"/>
      <c r="C203" s="132"/>
      <c r="D203" s="132"/>
      <c r="E203" s="132"/>
      <c r="F203" s="132"/>
      <c r="G203" s="132"/>
      <c r="H203" s="132"/>
      <c r="I203" s="132"/>
      <c r="J203" s="132"/>
    </row>
    <row r="204" spans="1:10" ht="12.75">
      <c r="A204" s="131"/>
      <c r="B204" s="132"/>
      <c r="C204" s="132"/>
      <c r="D204" s="132"/>
      <c r="E204" s="132"/>
      <c r="F204" s="132"/>
      <c r="G204" s="132"/>
      <c r="H204" s="132"/>
      <c r="I204" s="132"/>
      <c r="J204" s="132"/>
    </row>
    <row r="205" spans="1:10" ht="12.75">
      <c r="A205" s="131"/>
      <c r="B205" s="132"/>
      <c r="C205" s="132"/>
      <c r="D205" s="132"/>
      <c r="E205" s="132"/>
      <c r="F205" s="132"/>
      <c r="G205" s="132"/>
      <c r="H205" s="132"/>
      <c r="I205" s="132"/>
      <c r="J205" s="132"/>
    </row>
    <row r="206" spans="1:10" ht="12.75">
      <c r="A206" s="131"/>
      <c r="B206" s="132"/>
      <c r="C206" s="132"/>
      <c r="D206" s="132"/>
      <c r="E206" s="132"/>
      <c r="F206" s="132"/>
      <c r="G206" s="132"/>
      <c r="H206" s="132"/>
      <c r="I206" s="132"/>
      <c r="J206" s="132"/>
    </row>
    <row r="207" spans="1:10" ht="12.75">
      <c r="A207" s="131"/>
      <c r="B207" s="132"/>
      <c r="C207" s="132"/>
      <c r="D207" s="132"/>
      <c r="E207" s="132"/>
      <c r="F207" s="132"/>
      <c r="G207" s="132"/>
      <c r="H207" s="132"/>
      <c r="I207" s="132"/>
      <c r="J207" s="132"/>
    </row>
    <row r="208" spans="1:10" ht="12.75">
      <c r="A208" s="131"/>
      <c r="B208" s="132"/>
      <c r="C208" s="132"/>
      <c r="D208" s="132"/>
      <c r="E208" s="132"/>
      <c r="F208" s="132"/>
      <c r="G208" s="132"/>
      <c r="H208" s="132"/>
      <c r="I208" s="132"/>
      <c r="J208" s="132"/>
    </row>
    <row r="209" spans="1:10" ht="12.75">
      <c r="A209" s="131"/>
      <c r="B209" s="132"/>
      <c r="C209" s="132"/>
      <c r="D209" s="132"/>
      <c r="E209" s="132"/>
      <c r="F209" s="132"/>
      <c r="G209" s="132"/>
      <c r="H209" s="132"/>
      <c r="I209" s="132"/>
      <c r="J209" s="132"/>
    </row>
    <row r="210" spans="1:10" ht="12.75">
      <c r="A210" s="131"/>
      <c r="B210" s="132"/>
      <c r="C210" s="132"/>
      <c r="D210" s="132"/>
      <c r="E210" s="132"/>
      <c r="F210" s="132"/>
      <c r="G210" s="132"/>
      <c r="H210" s="132"/>
      <c r="I210" s="132"/>
      <c r="J210" s="132"/>
    </row>
    <row r="211" spans="1:10" ht="12.75">
      <c r="A211" s="131"/>
      <c r="B211" s="132"/>
      <c r="C211" s="132"/>
      <c r="D211" s="132"/>
      <c r="E211" s="132"/>
      <c r="F211" s="132"/>
      <c r="G211" s="132"/>
      <c r="H211" s="132"/>
      <c r="I211" s="132"/>
      <c r="J211" s="132"/>
    </row>
    <row r="212" spans="1:10" ht="12.75">
      <c r="A212" s="131"/>
      <c r="B212" s="132"/>
      <c r="C212" s="132"/>
      <c r="D212" s="132"/>
      <c r="E212" s="132"/>
      <c r="F212" s="132"/>
      <c r="G212" s="132"/>
      <c r="H212" s="132"/>
      <c r="I212" s="132"/>
      <c r="J212" s="132"/>
    </row>
    <row r="213" spans="1:25" ht="12.75">
      <c r="A213" s="131"/>
      <c r="B213" s="132"/>
      <c r="C213" s="132"/>
      <c r="D213" s="132"/>
      <c r="E213" s="132"/>
      <c r="F213" s="132"/>
      <c r="G213" s="132"/>
      <c r="H213" s="132"/>
      <c r="I213" s="132"/>
      <c r="J213" s="132"/>
      <c r="Y213" s="216"/>
    </row>
    <row r="214" spans="1:10" ht="12.75">
      <c r="A214" s="131"/>
      <c r="B214" s="132"/>
      <c r="C214" s="132"/>
      <c r="D214" s="132"/>
      <c r="E214" s="132"/>
      <c r="F214" s="132"/>
      <c r="G214" s="132"/>
      <c r="H214" s="132"/>
      <c r="I214" s="132"/>
      <c r="J214" s="132"/>
    </row>
    <row r="215" spans="1:10" ht="12.75">
      <c r="A215" s="131"/>
      <c r="B215" s="132"/>
      <c r="C215" s="132"/>
      <c r="D215" s="132"/>
      <c r="E215" s="132"/>
      <c r="F215" s="132"/>
      <c r="G215" s="132"/>
      <c r="H215" s="132"/>
      <c r="I215" s="132"/>
      <c r="J215" s="132"/>
    </row>
    <row r="216" spans="1:10" ht="12.75">
      <c r="A216" s="131"/>
      <c r="B216" s="132"/>
      <c r="C216" s="132"/>
      <c r="D216" s="132"/>
      <c r="E216" s="132"/>
      <c r="F216" s="132"/>
      <c r="G216" s="132"/>
      <c r="H216" s="132"/>
      <c r="I216" s="132"/>
      <c r="J216" s="132"/>
    </row>
    <row r="217" spans="1:10" ht="12.75">
      <c r="A217" s="131"/>
      <c r="B217" s="132"/>
      <c r="C217" s="132"/>
      <c r="D217" s="132"/>
      <c r="E217" s="132"/>
      <c r="F217" s="132"/>
      <c r="G217" s="132"/>
      <c r="H217" s="132"/>
      <c r="I217" s="132"/>
      <c r="J217" s="132"/>
    </row>
    <row r="218" spans="1:10" ht="12.75">
      <c r="A218" s="131"/>
      <c r="B218" s="132"/>
      <c r="C218" s="132"/>
      <c r="D218" s="132"/>
      <c r="E218" s="132"/>
      <c r="F218" s="132"/>
      <c r="G218" s="132"/>
      <c r="H218" s="132"/>
      <c r="I218" s="132"/>
      <c r="J218" s="132"/>
    </row>
    <row r="219" spans="1:10" ht="12.75">
      <c r="A219" s="131"/>
      <c r="B219" s="132"/>
      <c r="C219" s="132"/>
      <c r="D219" s="132"/>
      <c r="E219" s="132"/>
      <c r="F219" s="132"/>
      <c r="G219" s="132"/>
      <c r="H219" s="132"/>
      <c r="I219" s="132"/>
      <c r="J219" s="132"/>
    </row>
    <row r="220" spans="1:10" ht="12.75">
      <c r="A220" s="131"/>
      <c r="B220" s="132"/>
      <c r="C220" s="132"/>
      <c r="D220" s="132"/>
      <c r="E220" s="132"/>
      <c r="F220" s="132"/>
      <c r="G220" s="132"/>
      <c r="H220" s="132"/>
      <c r="I220" s="132"/>
      <c r="J220" s="132"/>
    </row>
    <row r="221" spans="1:10" ht="12.75">
      <c r="A221" s="131"/>
      <c r="B221" s="132"/>
      <c r="C221" s="132"/>
      <c r="D221" s="132"/>
      <c r="E221" s="132"/>
      <c r="F221" s="132"/>
      <c r="G221" s="132"/>
      <c r="H221" s="132"/>
      <c r="I221" s="132"/>
      <c r="J221" s="132"/>
    </row>
    <row r="222" spans="1:10" ht="12.75">
      <c r="A222" s="131"/>
      <c r="B222" s="132"/>
      <c r="C222" s="132"/>
      <c r="D222" s="132"/>
      <c r="E222" s="132"/>
      <c r="F222" s="132"/>
      <c r="G222" s="132"/>
      <c r="H222" s="132"/>
      <c r="I222" s="132"/>
      <c r="J222" s="132"/>
    </row>
    <row r="223" spans="1:10" ht="12.75">
      <c r="A223" s="131"/>
      <c r="B223" s="132"/>
      <c r="C223" s="132"/>
      <c r="D223" s="132"/>
      <c r="E223" s="132"/>
      <c r="F223" s="132"/>
      <c r="G223" s="132"/>
      <c r="H223" s="132"/>
      <c r="I223" s="132"/>
      <c r="J223" s="132"/>
    </row>
    <row r="224" spans="1:10" ht="12.75">
      <c r="A224" s="131"/>
      <c r="B224" s="132"/>
      <c r="C224" s="132"/>
      <c r="D224" s="132"/>
      <c r="E224" s="132"/>
      <c r="F224" s="132"/>
      <c r="G224" s="132"/>
      <c r="H224" s="132"/>
      <c r="I224" s="132"/>
      <c r="J224" s="132"/>
    </row>
    <row r="225" spans="1:10" ht="12.75">
      <c r="A225" s="131"/>
      <c r="B225" s="132"/>
      <c r="C225" s="132"/>
      <c r="D225" s="132"/>
      <c r="E225" s="132"/>
      <c r="F225" s="132"/>
      <c r="G225" s="132"/>
      <c r="H225" s="132"/>
      <c r="I225" s="132"/>
      <c r="J225" s="132"/>
    </row>
    <row r="226" spans="1:10" ht="12.75">
      <c r="A226" s="131"/>
      <c r="B226" s="132"/>
      <c r="C226" s="132"/>
      <c r="D226" s="132"/>
      <c r="E226" s="132"/>
      <c r="F226" s="132"/>
      <c r="G226" s="132"/>
      <c r="H226" s="132"/>
      <c r="I226" s="132"/>
      <c r="J226" s="132"/>
    </row>
    <row r="227" spans="1:10" ht="12.75">
      <c r="A227" s="131"/>
      <c r="B227" s="132"/>
      <c r="C227" s="132"/>
      <c r="D227" s="132"/>
      <c r="E227" s="132"/>
      <c r="F227" s="132"/>
      <c r="G227" s="132"/>
      <c r="H227" s="132"/>
      <c r="I227" s="132"/>
      <c r="J227" s="132"/>
    </row>
    <row r="228" spans="1:10" ht="12.75">
      <c r="A228" s="131"/>
      <c r="B228" s="132"/>
      <c r="C228" s="132"/>
      <c r="D228" s="132"/>
      <c r="E228" s="132"/>
      <c r="F228" s="132"/>
      <c r="G228" s="132"/>
      <c r="H228" s="132"/>
      <c r="I228" s="132"/>
      <c r="J228" s="132"/>
    </row>
    <row r="229" spans="1:29" ht="12.75">
      <c r="A229" s="131"/>
      <c r="B229" s="132"/>
      <c r="C229" s="132"/>
      <c r="D229" s="132"/>
      <c r="E229" s="132"/>
      <c r="F229" s="132"/>
      <c r="G229" s="132"/>
      <c r="H229" s="132"/>
      <c r="I229" s="132"/>
      <c r="J229" s="132"/>
      <c r="W229" s="216"/>
      <c r="X229" s="216"/>
      <c r="Y229" s="216"/>
      <c r="AC229" s="216"/>
    </row>
    <row r="230" spans="1:10" ht="12.75">
      <c r="A230" s="131"/>
      <c r="B230" s="132"/>
      <c r="C230" s="132"/>
      <c r="D230" s="132"/>
      <c r="E230" s="132"/>
      <c r="F230" s="132"/>
      <c r="G230" s="132"/>
      <c r="H230" s="132"/>
      <c r="I230" s="132"/>
      <c r="J230" s="132"/>
    </row>
    <row r="231" spans="1:10" ht="12.75">
      <c r="A231" s="131"/>
      <c r="B231" s="132"/>
      <c r="C231" s="132"/>
      <c r="D231" s="132"/>
      <c r="E231" s="132"/>
      <c r="F231" s="132"/>
      <c r="G231" s="132"/>
      <c r="H231" s="132"/>
      <c r="I231" s="132"/>
      <c r="J231" s="132"/>
    </row>
    <row r="232" spans="1:10" ht="12.75">
      <c r="A232" s="131"/>
      <c r="B232" s="132"/>
      <c r="C232" s="132"/>
      <c r="D232" s="132"/>
      <c r="E232" s="132"/>
      <c r="F232" s="132"/>
      <c r="G232" s="132"/>
      <c r="H232" s="132"/>
      <c r="I232" s="132"/>
      <c r="J232" s="132"/>
    </row>
    <row r="233" spans="1:10" ht="12.75">
      <c r="A233" s="131"/>
      <c r="B233" s="132"/>
      <c r="C233" s="132"/>
      <c r="D233" s="132"/>
      <c r="E233" s="132"/>
      <c r="F233" s="132"/>
      <c r="G233" s="132"/>
      <c r="H233" s="132"/>
      <c r="I233" s="132"/>
      <c r="J233" s="132"/>
    </row>
    <row r="234" spans="1:10" ht="12.75">
      <c r="A234" s="131"/>
      <c r="B234" s="132"/>
      <c r="C234" s="132"/>
      <c r="D234" s="132"/>
      <c r="E234" s="132"/>
      <c r="F234" s="132"/>
      <c r="G234" s="132"/>
      <c r="H234" s="132"/>
      <c r="I234" s="132"/>
      <c r="J234" s="132"/>
    </row>
    <row r="235" spans="1:10" ht="12.75">
      <c r="A235" s="131"/>
      <c r="B235" s="132"/>
      <c r="C235" s="132"/>
      <c r="D235" s="132"/>
      <c r="E235" s="132"/>
      <c r="F235" s="132"/>
      <c r="G235" s="132"/>
      <c r="H235" s="132"/>
      <c r="I235" s="132"/>
      <c r="J235" s="132"/>
    </row>
    <row r="236" spans="1:10" ht="12.75">
      <c r="A236" s="131"/>
      <c r="B236" s="132"/>
      <c r="C236" s="132"/>
      <c r="D236" s="132"/>
      <c r="E236" s="132"/>
      <c r="F236" s="132"/>
      <c r="G236" s="132"/>
      <c r="H236" s="132"/>
      <c r="I236" s="132"/>
      <c r="J236" s="132"/>
    </row>
    <row r="237" spans="1:10" ht="12.75">
      <c r="A237" s="131"/>
      <c r="B237" s="132"/>
      <c r="C237" s="132"/>
      <c r="D237" s="132"/>
      <c r="E237" s="132"/>
      <c r="F237" s="132"/>
      <c r="G237" s="132"/>
      <c r="H237" s="132"/>
      <c r="I237" s="132"/>
      <c r="J237" s="132"/>
    </row>
    <row r="238" spans="1:10" ht="12.75">
      <c r="A238" s="131"/>
      <c r="B238" s="132"/>
      <c r="C238" s="132"/>
      <c r="D238" s="132"/>
      <c r="E238" s="132"/>
      <c r="F238" s="132"/>
      <c r="G238" s="132"/>
      <c r="H238" s="132"/>
      <c r="I238" s="132"/>
      <c r="J238" s="132"/>
    </row>
    <row r="239" spans="1:10" ht="12.75">
      <c r="A239" s="131"/>
      <c r="B239" s="132"/>
      <c r="C239" s="132"/>
      <c r="D239" s="132"/>
      <c r="E239" s="132"/>
      <c r="F239" s="132"/>
      <c r="G239" s="132"/>
      <c r="H239" s="132"/>
      <c r="I239" s="132"/>
      <c r="J239" s="132"/>
    </row>
    <row r="240" spans="1:10" ht="12.75">
      <c r="A240" s="131"/>
      <c r="B240" s="132"/>
      <c r="C240" s="132"/>
      <c r="D240" s="132"/>
      <c r="E240" s="132"/>
      <c r="F240" s="132"/>
      <c r="G240" s="132"/>
      <c r="H240" s="132"/>
      <c r="I240" s="132"/>
      <c r="J240" s="132"/>
    </row>
    <row r="241" spans="1:10" ht="12.75">
      <c r="A241" s="131"/>
      <c r="B241" s="132"/>
      <c r="C241" s="132"/>
      <c r="D241" s="132"/>
      <c r="E241" s="132"/>
      <c r="F241" s="132"/>
      <c r="G241" s="132"/>
      <c r="H241" s="132"/>
      <c r="I241" s="132"/>
      <c r="J241" s="132"/>
    </row>
    <row r="242" spans="1:10" ht="12.75">
      <c r="A242" s="131"/>
      <c r="B242" s="132"/>
      <c r="C242" s="132"/>
      <c r="D242" s="132"/>
      <c r="E242" s="132"/>
      <c r="F242" s="132"/>
      <c r="G242" s="132"/>
      <c r="H242" s="132"/>
      <c r="I242" s="132"/>
      <c r="J242" s="132"/>
    </row>
    <row r="243" spans="1:10" ht="12.75">
      <c r="A243" s="131"/>
      <c r="B243" s="132"/>
      <c r="C243" s="132"/>
      <c r="D243" s="132"/>
      <c r="E243" s="132"/>
      <c r="F243" s="132"/>
      <c r="G243" s="132"/>
      <c r="H243" s="132"/>
      <c r="I243" s="132"/>
      <c r="J243" s="132"/>
    </row>
    <row r="244" spans="1:10" ht="12.75">
      <c r="A244" s="131"/>
      <c r="B244" s="132"/>
      <c r="C244" s="132"/>
      <c r="D244" s="132"/>
      <c r="E244" s="132"/>
      <c r="F244" s="132"/>
      <c r="G244" s="132"/>
      <c r="H244" s="132"/>
      <c r="I244" s="132"/>
      <c r="J244" s="132"/>
    </row>
    <row r="245" spans="1:10" ht="12.75">
      <c r="A245" s="131"/>
      <c r="B245" s="132"/>
      <c r="C245" s="132"/>
      <c r="D245" s="132"/>
      <c r="E245" s="132"/>
      <c r="F245" s="132"/>
      <c r="G245" s="132"/>
      <c r="H245" s="132"/>
      <c r="I245" s="132"/>
      <c r="J245" s="132"/>
    </row>
    <row r="246" spans="1:10" ht="12.75">
      <c r="A246" s="131"/>
      <c r="B246" s="132"/>
      <c r="C246" s="132"/>
      <c r="D246" s="132"/>
      <c r="E246" s="132"/>
      <c r="F246" s="132"/>
      <c r="G246" s="132"/>
      <c r="H246" s="132"/>
      <c r="I246" s="132"/>
      <c r="J246" s="132"/>
    </row>
    <row r="247" spans="1:10" ht="12.75">
      <c r="A247" s="131"/>
      <c r="B247" s="132"/>
      <c r="C247" s="132"/>
      <c r="D247" s="132"/>
      <c r="E247" s="132"/>
      <c r="F247" s="132"/>
      <c r="G247" s="132"/>
      <c r="H247" s="132"/>
      <c r="I247" s="132"/>
      <c r="J247" s="132"/>
    </row>
    <row r="248" spans="1:10" ht="12.75">
      <c r="A248" s="131"/>
      <c r="B248" s="132"/>
      <c r="C248" s="132"/>
      <c r="D248" s="132"/>
      <c r="E248" s="132"/>
      <c r="F248" s="132"/>
      <c r="G248" s="132"/>
      <c r="H248" s="132"/>
      <c r="I248" s="132"/>
      <c r="J248" s="132"/>
    </row>
    <row r="249" spans="1:10" ht="12.75">
      <c r="A249" s="131"/>
      <c r="B249" s="132"/>
      <c r="C249" s="132"/>
      <c r="D249" s="132"/>
      <c r="E249" s="132"/>
      <c r="F249" s="132"/>
      <c r="G249" s="132"/>
      <c r="H249" s="132"/>
      <c r="I249" s="132"/>
      <c r="J249" s="132"/>
    </row>
    <row r="250" spans="1:10" ht="12.75">
      <c r="A250" s="131"/>
      <c r="B250" s="132"/>
      <c r="C250" s="132"/>
      <c r="D250" s="132"/>
      <c r="E250" s="132"/>
      <c r="F250" s="132"/>
      <c r="G250" s="132"/>
      <c r="H250" s="132"/>
      <c r="I250" s="132"/>
      <c r="J250" s="132"/>
    </row>
    <row r="251" spans="1:10" ht="12.75">
      <c r="A251" s="131"/>
      <c r="B251" s="132"/>
      <c r="C251" s="132"/>
      <c r="D251" s="132"/>
      <c r="E251" s="132"/>
      <c r="F251" s="132"/>
      <c r="G251" s="132"/>
      <c r="H251" s="132"/>
      <c r="I251" s="132"/>
      <c r="J251" s="132"/>
    </row>
    <row r="252" spans="1:10" ht="12.75">
      <c r="A252" s="131"/>
      <c r="B252" s="132"/>
      <c r="C252" s="132"/>
      <c r="D252" s="132"/>
      <c r="E252" s="132"/>
      <c r="F252" s="132"/>
      <c r="G252" s="132"/>
      <c r="H252" s="132"/>
      <c r="I252" s="132"/>
      <c r="J252" s="132"/>
    </row>
    <row r="253" spans="1:10" ht="12.75">
      <c r="A253" s="131"/>
      <c r="B253" s="132"/>
      <c r="C253" s="132"/>
      <c r="D253" s="132"/>
      <c r="E253" s="132"/>
      <c r="F253" s="132"/>
      <c r="G253" s="132"/>
      <c r="H253" s="132"/>
      <c r="I253" s="132"/>
      <c r="J253" s="132"/>
    </row>
    <row r="254" spans="1:10" ht="12.75">
      <c r="A254" s="131"/>
      <c r="B254" s="132"/>
      <c r="C254" s="132"/>
      <c r="D254" s="132"/>
      <c r="E254" s="132"/>
      <c r="F254" s="132"/>
      <c r="G254" s="132"/>
      <c r="H254" s="132"/>
      <c r="I254" s="132"/>
      <c r="J254" s="132"/>
    </row>
    <row r="255" spans="1:10" ht="12.75">
      <c r="A255" s="131"/>
      <c r="B255" s="132"/>
      <c r="C255" s="132"/>
      <c r="D255" s="132"/>
      <c r="E255" s="132"/>
      <c r="F255" s="132"/>
      <c r="G255" s="132"/>
      <c r="H255" s="132"/>
      <c r="I255" s="132"/>
      <c r="J255" s="132"/>
    </row>
    <row r="256" spans="1:10" ht="12.75">
      <c r="A256" s="131"/>
      <c r="B256" s="132"/>
      <c r="C256" s="132"/>
      <c r="D256" s="132"/>
      <c r="E256" s="132"/>
      <c r="F256" s="132"/>
      <c r="G256" s="132"/>
      <c r="H256" s="132"/>
      <c r="I256" s="132"/>
      <c r="J256" s="132"/>
    </row>
    <row r="257" spans="1:10" ht="12.75">
      <c r="A257" s="131"/>
      <c r="B257" s="132"/>
      <c r="C257" s="132"/>
      <c r="D257" s="132"/>
      <c r="E257" s="132"/>
      <c r="F257" s="132"/>
      <c r="G257" s="132"/>
      <c r="H257" s="132"/>
      <c r="I257" s="132"/>
      <c r="J257" s="132"/>
    </row>
    <row r="258" spans="1:10" ht="12.75">
      <c r="A258" s="131"/>
      <c r="B258" s="132"/>
      <c r="C258" s="132"/>
      <c r="D258" s="132"/>
      <c r="E258" s="132"/>
      <c r="F258" s="132"/>
      <c r="G258" s="132"/>
      <c r="H258" s="132"/>
      <c r="I258" s="132"/>
      <c r="J258" s="132"/>
    </row>
    <row r="259" spans="1:10" ht="12.75">
      <c r="A259" s="131"/>
      <c r="B259" s="132"/>
      <c r="C259" s="132"/>
      <c r="D259" s="132"/>
      <c r="E259" s="132"/>
      <c r="F259" s="132"/>
      <c r="G259" s="132"/>
      <c r="H259" s="132"/>
      <c r="I259" s="132"/>
      <c r="J259" s="132"/>
    </row>
    <row r="260" spans="1:10" ht="12.75">
      <c r="A260" s="131"/>
      <c r="B260" s="132"/>
      <c r="C260" s="132"/>
      <c r="D260" s="132"/>
      <c r="E260" s="132"/>
      <c r="F260" s="132"/>
      <c r="G260" s="132"/>
      <c r="H260" s="132"/>
      <c r="I260" s="132"/>
      <c r="J260" s="132"/>
    </row>
    <row r="261" spans="1:10" ht="12.75">
      <c r="A261" s="131"/>
      <c r="B261" s="132"/>
      <c r="C261" s="132"/>
      <c r="D261" s="132"/>
      <c r="E261" s="132"/>
      <c r="F261" s="132"/>
      <c r="G261" s="132"/>
      <c r="H261" s="132"/>
      <c r="I261" s="132"/>
      <c r="J261" s="132"/>
    </row>
    <row r="262" spans="1:10" ht="12.75">
      <c r="A262" s="131"/>
      <c r="B262" s="132"/>
      <c r="C262" s="132"/>
      <c r="D262" s="132"/>
      <c r="E262" s="132"/>
      <c r="F262" s="132"/>
      <c r="G262" s="132"/>
      <c r="H262" s="132"/>
      <c r="I262" s="132"/>
      <c r="J262" s="132"/>
    </row>
    <row r="263" spans="1:10" ht="12.75">
      <c r="A263" s="131"/>
      <c r="B263" s="132"/>
      <c r="C263" s="132"/>
      <c r="D263" s="132"/>
      <c r="E263" s="132"/>
      <c r="F263" s="132"/>
      <c r="G263" s="132"/>
      <c r="H263" s="132"/>
      <c r="I263" s="132"/>
      <c r="J263" s="132"/>
    </row>
    <row r="264" spans="1:10" ht="12.75">
      <c r="A264" s="131"/>
      <c r="B264" s="132"/>
      <c r="C264" s="132"/>
      <c r="D264" s="132"/>
      <c r="E264" s="132"/>
      <c r="F264" s="132"/>
      <c r="G264" s="132"/>
      <c r="H264" s="132"/>
      <c r="I264" s="132"/>
      <c r="J264" s="132"/>
    </row>
    <row r="265" spans="1:10" ht="12.75">
      <c r="A265" s="131"/>
      <c r="B265" s="132"/>
      <c r="C265" s="132"/>
      <c r="D265" s="132"/>
      <c r="E265" s="132"/>
      <c r="F265" s="132"/>
      <c r="G265" s="132"/>
      <c r="H265" s="132"/>
      <c r="I265" s="132"/>
      <c r="J265" s="132"/>
    </row>
    <row r="266" spans="1:10" ht="12.75">
      <c r="A266" s="131"/>
      <c r="B266" s="132"/>
      <c r="C266" s="132"/>
      <c r="D266" s="132"/>
      <c r="E266" s="132"/>
      <c r="F266" s="132"/>
      <c r="G266" s="132"/>
      <c r="H266" s="132"/>
      <c r="I266" s="132"/>
      <c r="J266" s="132"/>
    </row>
    <row r="267" spans="1:10" ht="12.75">
      <c r="A267" s="131"/>
      <c r="B267" s="132"/>
      <c r="C267" s="132"/>
      <c r="D267" s="132"/>
      <c r="E267" s="132"/>
      <c r="F267" s="132"/>
      <c r="G267" s="132"/>
      <c r="H267" s="132"/>
      <c r="I267" s="132"/>
      <c r="J267" s="132"/>
    </row>
    <row r="268" spans="1:10" ht="12.75">
      <c r="A268" s="131"/>
      <c r="B268" s="132"/>
      <c r="C268" s="132"/>
      <c r="D268" s="132"/>
      <c r="E268" s="132"/>
      <c r="F268" s="132"/>
      <c r="G268" s="132"/>
      <c r="H268" s="132"/>
      <c r="I268" s="132"/>
      <c r="J268" s="132"/>
    </row>
    <row r="269" spans="1:10" ht="12.75">
      <c r="A269" s="131"/>
      <c r="B269" s="132"/>
      <c r="C269" s="132"/>
      <c r="D269" s="132"/>
      <c r="E269" s="132"/>
      <c r="F269" s="132"/>
      <c r="G269" s="132"/>
      <c r="H269" s="132"/>
      <c r="I269" s="132"/>
      <c r="J269" s="132"/>
    </row>
    <row r="270" spans="1:10" ht="12.75">
      <c r="A270" s="131"/>
      <c r="B270" s="132"/>
      <c r="C270" s="132"/>
      <c r="D270" s="132"/>
      <c r="E270" s="132"/>
      <c r="F270" s="132"/>
      <c r="G270" s="132"/>
      <c r="H270" s="132"/>
      <c r="I270" s="132"/>
      <c r="J270" s="132"/>
    </row>
    <row r="271" spans="1:10" ht="12.75">
      <c r="A271" s="131"/>
      <c r="B271" s="132"/>
      <c r="C271" s="132"/>
      <c r="D271" s="132"/>
      <c r="E271" s="132"/>
      <c r="F271" s="132"/>
      <c r="G271" s="132"/>
      <c r="H271" s="132"/>
      <c r="I271" s="132"/>
      <c r="J271" s="132"/>
    </row>
    <row r="272" spans="1:10" ht="12.75">
      <c r="A272" s="131"/>
      <c r="B272" s="132"/>
      <c r="C272" s="132"/>
      <c r="D272" s="132"/>
      <c r="E272" s="132"/>
      <c r="F272" s="132"/>
      <c r="G272" s="132"/>
      <c r="H272" s="132"/>
      <c r="I272" s="132"/>
      <c r="J272" s="132"/>
    </row>
    <row r="273" spans="1:10" ht="12.75">
      <c r="A273" s="131"/>
      <c r="B273" s="132"/>
      <c r="C273" s="132"/>
      <c r="D273" s="132"/>
      <c r="E273" s="132"/>
      <c r="F273" s="132"/>
      <c r="G273" s="132"/>
      <c r="H273" s="132"/>
      <c r="I273" s="132"/>
      <c r="J273" s="132"/>
    </row>
    <row r="274" spans="1:10" ht="12.75">
      <c r="A274" s="131"/>
      <c r="B274" s="132"/>
      <c r="C274" s="132"/>
      <c r="D274" s="132"/>
      <c r="E274" s="132"/>
      <c r="F274" s="132"/>
      <c r="G274" s="132"/>
      <c r="H274" s="132"/>
      <c r="I274" s="132"/>
      <c r="J274" s="132"/>
    </row>
    <row r="275" spans="1:10" ht="12.75">
      <c r="A275" s="131"/>
      <c r="B275" s="132"/>
      <c r="C275" s="132"/>
      <c r="D275" s="132"/>
      <c r="E275" s="132"/>
      <c r="F275" s="132"/>
      <c r="G275" s="132"/>
      <c r="H275" s="132"/>
      <c r="I275" s="132"/>
      <c r="J275" s="132"/>
    </row>
    <row r="276" spans="1:10" ht="12.75">
      <c r="A276" s="131"/>
      <c r="B276" s="132"/>
      <c r="C276" s="132"/>
      <c r="D276" s="132"/>
      <c r="E276" s="132"/>
      <c r="F276" s="132"/>
      <c r="G276" s="132"/>
      <c r="H276" s="132"/>
      <c r="I276" s="132"/>
      <c r="J276" s="132"/>
    </row>
    <row r="277" spans="1:10" ht="12.75">
      <c r="A277" s="131"/>
      <c r="B277" s="132"/>
      <c r="C277" s="132"/>
      <c r="D277" s="132"/>
      <c r="E277" s="132"/>
      <c r="F277" s="132"/>
      <c r="G277" s="132"/>
      <c r="H277" s="132"/>
      <c r="I277" s="132"/>
      <c r="J277" s="132"/>
    </row>
    <row r="278" spans="1:10" ht="12.75">
      <c r="A278" s="131"/>
      <c r="B278" s="132"/>
      <c r="C278" s="132"/>
      <c r="D278" s="132"/>
      <c r="E278" s="132"/>
      <c r="F278" s="132"/>
      <c r="G278" s="132"/>
      <c r="H278" s="132"/>
      <c r="I278" s="132"/>
      <c r="J278" s="132"/>
    </row>
    <row r="279" spans="1:10" ht="12.75">
      <c r="A279" s="131"/>
      <c r="B279" s="132"/>
      <c r="C279" s="132"/>
      <c r="D279" s="132"/>
      <c r="E279" s="132"/>
      <c r="F279" s="132"/>
      <c r="G279" s="132"/>
      <c r="H279" s="132"/>
      <c r="I279" s="132"/>
      <c r="J279" s="132"/>
    </row>
    <row r="280" spans="1:10" ht="12.75">
      <c r="A280" s="131"/>
      <c r="B280" s="132"/>
      <c r="C280" s="132"/>
      <c r="D280" s="132"/>
      <c r="E280" s="132"/>
      <c r="F280" s="132"/>
      <c r="G280" s="132"/>
      <c r="H280" s="132"/>
      <c r="I280" s="132"/>
      <c r="J280" s="132"/>
    </row>
    <row r="281" spans="1:10" ht="12.75">
      <c r="A281" s="131"/>
      <c r="B281" s="132"/>
      <c r="C281" s="132"/>
      <c r="D281" s="132"/>
      <c r="E281" s="132"/>
      <c r="F281" s="132"/>
      <c r="G281" s="132"/>
      <c r="H281" s="132"/>
      <c r="I281" s="132"/>
      <c r="J281" s="132"/>
    </row>
    <row r="282" spans="1:10" ht="12.75">
      <c r="A282" s="131"/>
      <c r="B282" s="132"/>
      <c r="C282" s="132"/>
      <c r="D282" s="132"/>
      <c r="E282" s="132"/>
      <c r="F282" s="132"/>
      <c r="G282" s="132"/>
      <c r="H282" s="132"/>
      <c r="I282" s="132"/>
      <c r="J282" s="132"/>
    </row>
    <row r="283" spans="1:10" ht="12.75">
      <c r="A283" s="131"/>
      <c r="B283" s="132"/>
      <c r="C283" s="132"/>
      <c r="D283" s="132"/>
      <c r="E283" s="132"/>
      <c r="F283" s="132"/>
      <c r="G283" s="132"/>
      <c r="H283" s="132"/>
      <c r="I283" s="132"/>
      <c r="J283" s="132"/>
    </row>
    <row r="284" spans="1:10" ht="12.75">
      <c r="A284" s="131"/>
      <c r="B284" s="132"/>
      <c r="C284" s="132"/>
      <c r="D284" s="132"/>
      <c r="E284" s="132"/>
      <c r="F284" s="132"/>
      <c r="G284" s="132"/>
      <c r="H284" s="132"/>
      <c r="I284" s="132"/>
      <c r="J284" s="132"/>
    </row>
    <row r="285" spans="1:10" ht="12.75">
      <c r="A285" s="131"/>
      <c r="B285" s="132"/>
      <c r="C285" s="132"/>
      <c r="D285" s="132"/>
      <c r="E285" s="132"/>
      <c r="F285" s="132"/>
      <c r="G285" s="132"/>
      <c r="H285" s="132"/>
      <c r="I285" s="132"/>
      <c r="J285" s="132"/>
    </row>
    <row r="286" spans="1:10" ht="12.75">
      <c r="A286" s="131"/>
      <c r="B286" s="132"/>
      <c r="C286" s="132"/>
      <c r="D286" s="132"/>
      <c r="E286" s="132"/>
      <c r="F286" s="132"/>
      <c r="G286" s="132"/>
      <c r="H286" s="132"/>
      <c r="I286" s="132"/>
      <c r="J286" s="132"/>
    </row>
    <row r="287" spans="1:10" ht="12.75">
      <c r="A287" s="131"/>
      <c r="B287" s="132"/>
      <c r="C287" s="132"/>
      <c r="D287" s="132"/>
      <c r="E287" s="132"/>
      <c r="F287" s="132"/>
      <c r="G287" s="132"/>
      <c r="H287" s="132"/>
      <c r="I287" s="132"/>
      <c r="J287" s="132"/>
    </row>
    <row r="288" spans="1:10" ht="12.75">
      <c r="A288" s="131"/>
      <c r="B288" s="132"/>
      <c r="C288" s="132"/>
      <c r="D288" s="132"/>
      <c r="E288" s="132"/>
      <c r="F288" s="132"/>
      <c r="G288" s="132"/>
      <c r="H288" s="132"/>
      <c r="I288" s="132"/>
      <c r="J288" s="132"/>
    </row>
    <row r="289" spans="1:10" ht="12.75">
      <c r="A289" s="131"/>
      <c r="B289" s="132"/>
      <c r="C289" s="132"/>
      <c r="D289" s="132"/>
      <c r="E289" s="132"/>
      <c r="F289" s="132"/>
      <c r="G289" s="132"/>
      <c r="H289" s="132"/>
      <c r="I289" s="132"/>
      <c r="J289" s="132"/>
    </row>
    <row r="290" spans="1:10" ht="12.75">
      <c r="A290" s="131"/>
      <c r="B290" s="132"/>
      <c r="C290" s="132"/>
      <c r="D290" s="132"/>
      <c r="E290" s="132"/>
      <c r="F290" s="132"/>
      <c r="G290" s="132"/>
      <c r="H290" s="132"/>
      <c r="I290" s="132"/>
      <c r="J290" s="132"/>
    </row>
    <row r="291" spans="1:10" ht="12.75">
      <c r="A291" s="131"/>
      <c r="B291" s="132"/>
      <c r="C291" s="132"/>
      <c r="D291" s="132"/>
      <c r="E291" s="132"/>
      <c r="F291" s="132"/>
      <c r="G291" s="132"/>
      <c r="H291" s="132"/>
      <c r="I291" s="132"/>
      <c r="J291" s="132"/>
    </row>
    <row r="292" spans="1:10" ht="12.75">
      <c r="A292" s="131"/>
      <c r="B292" s="132"/>
      <c r="C292" s="132"/>
      <c r="D292" s="132"/>
      <c r="E292" s="132"/>
      <c r="F292" s="132"/>
      <c r="G292" s="132"/>
      <c r="H292" s="132"/>
      <c r="I292" s="132"/>
      <c r="J292" s="132"/>
    </row>
    <row r="293" spans="1:10" ht="12.75">
      <c r="A293" s="131"/>
      <c r="B293" s="132"/>
      <c r="C293" s="132"/>
      <c r="D293" s="132"/>
      <c r="E293" s="132"/>
      <c r="F293" s="132"/>
      <c r="G293" s="132"/>
      <c r="H293" s="132"/>
      <c r="I293" s="132"/>
      <c r="J293" s="132"/>
    </row>
    <row r="294" spans="1:10" ht="12.75">
      <c r="A294" s="131"/>
      <c r="B294" s="132"/>
      <c r="C294" s="132"/>
      <c r="D294" s="132"/>
      <c r="E294" s="132"/>
      <c r="F294" s="132"/>
      <c r="G294" s="132"/>
      <c r="H294" s="132"/>
      <c r="I294" s="132"/>
      <c r="J294" s="132"/>
    </row>
    <row r="295" spans="1:10" ht="12.75">
      <c r="A295" s="131"/>
      <c r="B295" s="132"/>
      <c r="C295" s="132"/>
      <c r="D295" s="132"/>
      <c r="E295" s="132"/>
      <c r="F295" s="132"/>
      <c r="G295" s="132"/>
      <c r="H295" s="132"/>
      <c r="I295" s="132"/>
      <c r="J295" s="132"/>
    </row>
    <row r="296" spans="1:10" ht="12.75">
      <c r="A296" s="131"/>
      <c r="B296" s="132"/>
      <c r="C296" s="132"/>
      <c r="D296" s="132"/>
      <c r="E296" s="132"/>
      <c r="F296" s="132"/>
      <c r="G296" s="132"/>
      <c r="H296" s="132"/>
      <c r="I296" s="132"/>
      <c r="J296" s="132"/>
    </row>
    <row r="297" spans="1:10" ht="12.75">
      <c r="A297" s="131"/>
      <c r="B297" s="132"/>
      <c r="C297" s="132"/>
      <c r="D297" s="132"/>
      <c r="E297" s="132"/>
      <c r="F297" s="132"/>
      <c r="G297" s="132"/>
      <c r="H297" s="132"/>
      <c r="I297" s="132"/>
      <c r="J297" s="132"/>
    </row>
    <row r="298" spans="1:10" ht="12.75">
      <c r="A298" s="131"/>
      <c r="B298" s="132"/>
      <c r="C298" s="132"/>
      <c r="D298" s="132"/>
      <c r="E298" s="132"/>
      <c r="F298" s="132"/>
      <c r="G298" s="132"/>
      <c r="H298" s="132"/>
      <c r="I298" s="132"/>
      <c r="J298" s="132"/>
    </row>
    <row r="299" spans="1:10" ht="12.75">
      <c r="A299" s="131"/>
      <c r="B299" s="132"/>
      <c r="C299" s="132"/>
      <c r="D299" s="132"/>
      <c r="E299" s="132"/>
      <c r="F299" s="132"/>
      <c r="G299" s="132"/>
      <c r="H299" s="132"/>
      <c r="I299" s="132"/>
      <c r="J299" s="132"/>
    </row>
    <row r="300" spans="1:10" ht="12.75">
      <c r="A300" s="131"/>
      <c r="B300" s="132"/>
      <c r="C300" s="132"/>
      <c r="D300" s="132"/>
      <c r="E300" s="132"/>
      <c r="F300" s="132"/>
      <c r="G300" s="132"/>
      <c r="H300" s="132"/>
      <c r="I300" s="132"/>
      <c r="J300" s="132"/>
    </row>
    <row r="301" spans="1:10" ht="12.75">
      <c r="A301" s="131"/>
      <c r="B301" s="132"/>
      <c r="C301" s="132"/>
      <c r="D301" s="132"/>
      <c r="E301" s="132"/>
      <c r="F301" s="132"/>
      <c r="G301" s="132"/>
      <c r="H301" s="132"/>
      <c r="I301" s="132"/>
      <c r="J301" s="132"/>
    </row>
    <row r="302" spans="1:10" ht="12.75">
      <c r="A302" s="131"/>
      <c r="B302" s="132"/>
      <c r="C302" s="132"/>
      <c r="D302" s="132"/>
      <c r="E302" s="132"/>
      <c r="F302" s="132"/>
      <c r="G302" s="132"/>
      <c r="H302" s="132"/>
      <c r="I302" s="132"/>
      <c r="J302" s="132"/>
    </row>
    <row r="303" spans="1:10" ht="12.75">
      <c r="A303" s="131"/>
      <c r="B303" s="132"/>
      <c r="C303" s="132"/>
      <c r="D303" s="132"/>
      <c r="E303" s="132"/>
      <c r="F303" s="132"/>
      <c r="G303" s="132"/>
      <c r="H303" s="132"/>
      <c r="I303" s="132"/>
      <c r="J303" s="132"/>
    </row>
    <row r="304" spans="1:10" ht="12.75">
      <c r="A304" s="131"/>
      <c r="B304" s="132"/>
      <c r="C304" s="132"/>
      <c r="D304" s="132"/>
      <c r="E304" s="132"/>
      <c r="F304" s="132"/>
      <c r="G304" s="132"/>
      <c r="H304" s="132"/>
      <c r="I304" s="132"/>
      <c r="J304" s="132"/>
    </row>
    <row r="305" spans="1:10" ht="12.75">
      <c r="A305" s="131"/>
      <c r="B305" s="132"/>
      <c r="C305" s="132"/>
      <c r="D305" s="132"/>
      <c r="E305" s="132"/>
      <c r="F305" s="132"/>
      <c r="G305" s="132"/>
      <c r="H305" s="132"/>
      <c r="I305" s="132"/>
      <c r="J305" s="132"/>
    </row>
    <row r="306" spans="1:10" ht="12.75">
      <c r="A306" s="131"/>
      <c r="B306" s="132"/>
      <c r="C306" s="132"/>
      <c r="D306" s="132"/>
      <c r="E306" s="132"/>
      <c r="F306" s="132"/>
      <c r="G306" s="132"/>
      <c r="H306" s="132"/>
      <c r="I306" s="132"/>
      <c r="J306" s="132"/>
    </row>
    <row r="307" spans="1:10" ht="12.75">
      <c r="A307" s="131"/>
      <c r="B307" s="132"/>
      <c r="C307" s="132"/>
      <c r="D307" s="132"/>
      <c r="E307" s="132"/>
      <c r="F307" s="132"/>
      <c r="G307" s="132"/>
      <c r="H307" s="132"/>
      <c r="I307" s="132"/>
      <c r="J307" s="132"/>
    </row>
    <row r="308" spans="1:10" ht="12.75">
      <c r="A308" s="131"/>
      <c r="B308" s="132"/>
      <c r="C308" s="132"/>
      <c r="D308" s="132"/>
      <c r="E308" s="132"/>
      <c r="F308" s="132"/>
      <c r="G308" s="132"/>
      <c r="H308" s="132"/>
      <c r="I308" s="132"/>
      <c r="J308" s="132"/>
    </row>
    <row r="309" spans="1:10" ht="12.75">
      <c r="A309" s="131"/>
      <c r="B309" s="132"/>
      <c r="C309" s="132"/>
      <c r="D309" s="132"/>
      <c r="E309" s="132"/>
      <c r="F309" s="132"/>
      <c r="G309" s="132"/>
      <c r="H309" s="132"/>
      <c r="I309" s="132"/>
      <c r="J309" s="132"/>
    </row>
    <row r="310" spans="1:10" ht="12.75">
      <c r="A310" s="131"/>
      <c r="B310" s="132"/>
      <c r="C310" s="132"/>
      <c r="D310" s="132"/>
      <c r="E310" s="132"/>
      <c r="F310" s="132"/>
      <c r="G310" s="132"/>
      <c r="H310" s="132"/>
      <c r="I310" s="132"/>
      <c r="J310" s="132"/>
    </row>
    <row r="311" spans="1:10" ht="12.75">
      <c r="A311" s="131"/>
      <c r="B311" s="132"/>
      <c r="C311" s="132"/>
      <c r="D311" s="132"/>
      <c r="E311" s="132"/>
      <c r="F311" s="132"/>
      <c r="G311" s="132"/>
      <c r="H311" s="132"/>
      <c r="I311" s="132"/>
      <c r="J311" s="132"/>
    </row>
    <row r="312" spans="1:10" ht="12.75">
      <c r="A312" s="131"/>
      <c r="B312" s="132"/>
      <c r="C312" s="132"/>
      <c r="D312" s="132"/>
      <c r="E312" s="132"/>
      <c r="F312" s="132"/>
      <c r="G312" s="132"/>
      <c r="H312" s="132"/>
      <c r="I312" s="132"/>
      <c r="J312" s="132"/>
    </row>
    <row r="313" spans="1:10" ht="12.75">
      <c r="A313" s="131"/>
      <c r="B313" s="132"/>
      <c r="C313" s="132"/>
      <c r="D313" s="132"/>
      <c r="E313" s="132"/>
      <c r="F313" s="132"/>
      <c r="G313" s="132"/>
      <c r="H313" s="132"/>
      <c r="I313" s="132"/>
      <c r="J313" s="132"/>
    </row>
    <row r="314" spans="1:10" ht="12.75">
      <c r="A314" s="131"/>
      <c r="B314" s="132"/>
      <c r="C314" s="132"/>
      <c r="D314" s="132"/>
      <c r="E314" s="132"/>
      <c r="F314" s="132"/>
      <c r="G314" s="132"/>
      <c r="H314" s="132"/>
      <c r="I314" s="132"/>
      <c r="J314" s="132"/>
    </row>
    <row r="315" spans="1:10" ht="12.75">
      <c r="A315" s="131"/>
      <c r="B315" s="132"/>
      <c r="C315" s="132"/>
      <c r="D315" s="132"/>
      <c r="E315" s="132"/>
      <c r="F315" s="132"/>
      <c r="G315" s="132"/>
      <c r="H315" s="132"/>
      <c r="I315" s="132"/>
      <c r="J315" s="132"/>
    </row>
    <row r="316" spans="1:10" ht="12.75">
      <c r="A316" s="131"/>
      <c r="B316" s="132"/>
      <c r="C316" s="132"/>
      <c r="D316" s="132"/>
      <c r="E316" s="132"/>
      <c r="F316" s="132"/>
      <c r="G316" s="132"/>
      <c r="H316" s="132"/>
      <c r="I316" s="132"/>
      <c r="J316" s="132"/>
    </row>
    <row r="317" spans="1:10" ht="12.75">
      <c r="A317" s="131"/>
      <c r="B317" s="132"/>
      <c r="C317" s="132"/>
      <c r="D317" s="132"/>
      <c r="E317" s="132"/>
      <c r="F317" s="132"/>
      <c r="G317" s="132"/>
      <c r="H317" s="132"/>
      <c r="I317" s="132"/>
      <c r="J317" s="132"/>
    </row>
    <row r="318" spans="1:10" ht="12.75">
      <c r="A318" s="131"/>
      <c r="B318" s="132"/>
      <c r="C318" s="132"/>
      <c r="D318" s="132"/>
      <c r="E318" s="132"/>
      <c r="F318" s="132"/>
      <c r="G318" s="132"/>
      <c r="H318" s="132"/>
      <c r="I318" s="132"/>
      <c r="J318" s="132"/>
    </row>
    <row r="319" spans="1:10" ht="12.75">
      <c r="A319" s="131"/>
      <c r="B319" s="132"/>
      <c r="C319" s="132"/>
      <c r="D319" s="132"/>
      <c r="E319" s="132"/>
      <c r="F319" s="132"/>
      <c r="G319" s="132"/>
      <c r="H319" s="132"/>
      <c r="I319" s="132"/>
      <c r="J319" s="132"/>
    </row>
    <row r="320" spans="1:10" ht="12.75">
      <c r="A320" s="131"/>
      <c r="B320" s="132"/>
      <c r="C320" s="132"/>
      <c r="D320" s="132"/>
      <c r="E320" s="132"/>
      <c r="F320" s="132"/>
      <c r="G320" s="132"/>
      <c r="H320" s="132"/>
      <c r="I320" s="132"/>
      <c r="J320" s="132"/>
    </row>
    <row r="321" spans="1:10" ht="12.75">
      <c r="A321" s="131"/>
      <c r="B321" s="132"/>
      <c r="C321" s="132"/>
      <c r="D321" s="132"/>
      <c r="E321" s="132"/>
      <c r="F321" s="132"/>
      <c r="G321" s="132"/>
      <c r="H321" s="132"/>
      <c r="I321" s="132"/>
      <c r="J321" s="132"/>
    </row>
    <row r="322" spans="1:10" ht="12.75">
      <c r="A322" s="131"/>
      <c r="B322" s="132"/>
      <c r="C322" s="132"/>
      <c r="D322" s="132"/>
      <c r="E322" s="132"/>
      <c r="F322" s="132"/>
      <c r="G322" s="132"/>
      <c r="H322" s="132"/>
      <c r="I322" s="132"/>
      <c r="J322" s="132"/>
    </row>
    <row r="323" spans="1:10" ht="12.75">
      <c r="A323" s="131"/>
      <c r="B323" s="132"/>
      <c r="C323" s="132"/>
      <c r="D323" s="132"/>
      <c r="E323" s="132"/>
      <c r="F323" s="132"/>
      <c r="G323" s="132"/>
      <c r="H323" s="132"/>
      <c r="I323" s="132"/>
      <c r="J323" s="132"/>
    </row>
    <row r="324" spans="1:10" ht="12.75">
      <c r="A324" s="131"/>
      <c r="B324" s="132"/>
      <c r="C324" s="132"/>
      <c r="D324" s="132"/>
      <c r="E324" s="132"/>
      <c r="F324" s="132"/>
      <c r="G324" s="132"/>
      <c r="H324" s="132"/>
      <c r="I324" s="132"/>
      <c r="J324" s="132"/>
    </row>
    <row r="325" spans="1:10" ht="12.75">
      <c r="A325" s="131"/>
      <c r="B325" s="132"/>
      <c r="C325" s="132"/>
      <c r="D325" s="132"/>
      <c r="E325" s="132"/>
      <c r="F325" s="132"/>
      <c r="G325" s="132"/>
      <c r="H325" s="132"/>
      <c r="I325" s="132"/>
      <c r="J325" s="132"/>
    </row>
    <row r="326" spans="1:10" ht="12.75">
      <c r="A326" s="131"/>
      <c r="B326" s="132"/>
      <c r="C326" s="132"/>
      <c r="D326" s="132"/>
      <c r="E326" s="132"/>
      <c r="F326" s="132"/>
      <c r="G326" s="132"/>
      <c r="H326" s="132"/>
      <c r="I326" s="132"/>
      <c r="J326" s="132"/>
    </row>
    <row r="327" spans="1:10" ht="12.75">
      <c r="A327" s="131"/>
      <c r="B327" s="132"/>
      <c r="C327" s="132"/>
      <c r="D327" s="132"/>
      <c r="E327" s="132"/>
      <c r="F327" s="132"/>
      <c r="G327" s="132"/>
      <c r="H327" s="132"/>
      <c r="I327" s="132"/>
      <c r="J327" s="132"/>
    </row>
    <row r="328" spans="1:10" ht="12.75">
      <c r="A328" s="131"/>
      <c r="B328" s="132"/>
      <c r="C328" s="132"/>
      <c r="D328" s="132"/>
      <c r="E328" s="132"/>
      <c r="F328" s="132"/>
      <c r="G328" s="132"/>
      <c r="H328" s="132"/>
      <c r="I328" s="132"/>
      <c r="J328" s="132"/>
    </row>
    <row r="329" spans="1:10" ht="12.75">
      <c r="A329" s="131"/>
      <c r="B329" s="132"/>
      <c r="C329" s="132"/>
      <c r="D329" s="132"/>
      <c r="E329" s="132"/>
      <c r="F329" s="132"/>
      <c r="G329" s="132"/>
      <c r="H329" s="132"/>
      <c r="I329" s="132"/>
      <c r="J329" s="132"/>
    </row>
    <row r="330" spans="1:10" ht="12.75">
      <c r="A330" s="131"/>
      <c r="B330" s="132"/>
      <c r="C330" s="132"/>
      <c r="D330" s="132"/>
      <c r="E330" s="132"/>
      <c r="F330" s="132"/>
      <c r="G330" s="132"/>
      <c r="H330" s="132"/>
      <c r="I330" s="132"/>
      <c r="J330" s="132"/>
    </row>
    <row r="331" spans="1:10" ht="12.75">
      <c r="A331" s="131"/>
      <c r="B331" s="132"/>
      <c r="C331" s="132"/>
      <c r="D331" s="132"/>
      <c r="E331" s="132"/>
      <c r="F331" s="132"/>
      <c r="G331" s="132"/>
      <c r="H331" s="132"/>
      <c r="I331" s="132"/>
      <c r="J331" s="132"/>
    </row>
    <row r="332" spans="1:10" ht="12.75">
      <c r="A332" s="131"/>
      <c r="B332" s="132"/>
      <c r="C332" s="132"/>
      <c r="D332" s="132"/>
      <c r="E332" s="132"/>
      <c r="F332" s="132"/>
      <c r="G332" s="132"/>
      <c r="H332" s="132"/>
      <c r="I332" s="132"/>
      <c r="J332" s="132"/>
    </row>
    <row r="333" spans="1:10" ht="12.75">
      <c r="A333" s="131"/>
      <c r="B333" s="132"/>
      <c r="C333" s="132"/>
      <c r="D333" s="132"/>
      <c r="E333" s="132"/>
      <c r="F333" s="132"/>
      <c r="G333" s="132"/>
      <c r="H333" s="132"/>
      <c r="I333" s="132"/>
      <c r="J333" s="132"/>
    </row>
    <row r="334" spans="1:10" ht="12.75">
      <c r="A334" s="131"/>
      <c r="B334" s="132"/>
      <c r="C334" s="132"/>
      <c r="D334" s="132"/>
      <c r="E334" s="132"/>
      <c r="F334" s="132"/>
      <c r="G334" s="132"/>
      <c r="H334" s="132"/>
      <c r="I334" s="132"/>
      <c r="J334" s="132"/>
    </row>
    <row r="335" spans="1:10" ht="12.75">
      <c r="A335" s="131"/>
      <c r="B335" s="132"/>
      <c r="C335" s="132"/>
      <c r="D335" s="132"/>
      <c r="E335" s="132"/>
      <c r="F335" s="132"/>
      <c r="G335" s="132"/>
      <c r="H335" s="132"/>
      <c r="I335" s="132"/>
      <c r="J335" s="132"/>
    </row>
    <row r="336" spans="1:10" ht="12.75">
      <c r="A336" s="131"/>
      <c r="B336" s="132"/>
      <c r="C336" s="132"/>
      <c r="D336" s="132"/>
      <c r="E336" s="132"/>
      <c r="F336" s="132"/>
      <c r="G336" s="132"/>
      <c r="H336" s="132"/>
      <c r="I336" s="132"/>
      <c r="J336" s="132"/>
    </row>
    <row r="337" spans="1:10" ht="12.75">
      <c r="A337" s="131"/>
      <c r="B337" s="132"/>
      <c r="C337" s="132"/>
      <c r="D337" s="132"/>
      <c r="E337" s="132"/>
      <c r="F337" s="132"/>
      <c r="G337" s="132"/>
      <c r="H337" s="132"/>
      <c r="I337" s="132"/>
      <c r="J337" s="132"/>
    </row>
    <row r="338" spans="1:10" ht="12.75">
      <c r="A338" s="131"/>
      <c r="B338" s="132"/>
      <c r="C338" s="132"/>
      <c r="D338" s="132"/>
      <c r="E338" s="132"/>
      <c r="F338" s="132"/>
      <c r="G338" s="132"/>
      <c r="H338" s="132"/>
      <c r="I338" s="132"/>
      <c r="J338" s="132"/>
    </row>
    <row r="339" spans="1:10" ht="12.75">
      <c r="A339" s="131"/>
      <c r="B339" s="132"/>
      <c r="C339" s="132"/>
      <c r="D339" s="132"/>
      <c r="E339" s="132"/>
      <c r="F339" s="132"/>
      <c r="G339" s="132"/>
      <c r="H339" s="132"/>
      <c r="I339" s="132"/>
      <c r="J339" s="132"/>
    </row>
    <row r="340" spans="1:10" ht="12.75">
      <c r="A340" s="131"/>
      <c r="B340" s="132"/>
      <c r="C340" s="132"/>
      <c r="D340" s="132"/>
      <c r="E340" s="132"/>
      <c r="F340" s="132"/>
      <c r="G340" s="132"/>
      <c r="H340" s="132"/>
      <c r="I340" s="132"/>
      <c r="J340" s="132"/>
    </row>
    <row r="341" spans="1:10" ht="12.75">
      <c r="A341" s="131"/>
      <c r="B341" s="132"/>
      <c r="C341" s="132"/>
      <c r="D341" s="132"/>
      <c r="E341" s="132"/>
      <c r="F341" s="132"/>
      <c r="G341" s="132"/>
      <c r="H341" s="132"/>
      <c r="I341" s="132"/>
      <c r="J341" s="132"/>
    </row>
    <row r="342" spans="1:10" ht="12.75">
      <c r="A342" s="131"/>
      <c r="B342" s="132"/>
      <c r="C342" s="132"/>
      <c r="D342" s="132"/>
      <c r="E342" s="132"/>
      <c r="F342" s="132"/>
      <c r="G342" s="132"/>
      <c r="H342" s="132"/>
      <c r="I342" s="132"/>
      <c r="J342" s="132"/>
    </row>
    <row r="343" spans="1:10" ht="12.75">
      <c r="A343" s="131"/>
      <c r="B343" s="132"/>
      <c r="C343" s="132"/>
      <c r="D343" s="132"/>
      <c r="E343" s="132"/>
      <c r="F343" s="132"/>
      <c r="G343" s="132"/>
      <c r="H343" s="132"/>
      <c r="I343" s="132"/>
      <c r="J343" s="132"/>
    </row>
    <row r="344" spans="1:10" ht="12.75">
      <c r="A344" s="131"/>
      <c r="B344" s="132"/>
      <c r="C344" s="132"/>
      <c r="D344" s="132"/>
      <c r="E344" s="132"/>
      <c r="F344" s="132"/>
      <c r="G344" s="132"/>
      <c r="H344" s="132"/>
      <c r="I344" s="132"/>
      <c r="J344" s="132"/>
    </row>
    <row r="345" spans="1:10" ht="12.75">
      <c r="A345" s="131"/>
      <c r="B345" s="132"/>
      <c r="C345" s="132"/>
      <c r="D345" s="132"/>
      <c r="E345" s="132"/>
      <c r="F345" s="132"/>
      <c r="G345" s="132"/>
      <c r="H345" s="132"/>
      <c r="I345" s="132"/>
      <c r="J345" s="132"/>
    </row>
    <row r="346" spans="1:10" ht="12.75">
      <c r="A346" s="131"/>
      <c r="B346" s="132"/>
      <c r="C346" s="132"/>
      <c r="D346" s="132"/>
      <c r="E346" s="132"/>
      <c r="F346" s="132"/>
      <c r="G346" s="132"/>
      <c r="H346" s="132"/>
      <c r="I346" s="132"/>
      <c r="J346" s="132"/>
    </row>
    <row r="347" spans="1:10" ht="12.75">
      <c r="A347" s="131"/>
      <c r="B347" s="132"/>
      <c r="C347" s="132"/>
      <c r="D347" s="132"/>
      <c r="E347" s="132"/>
      <c r="F347" s="132"/>
      <c r="G347" s="132"/>
      <c r="H347" s="132"/>
      <c r="I347" s="132"/>
      <c r="J347" s="132"/>
    </row>
    <row r="348" spans="1:10" ht="12.75">
      <c r="A348" s="131"/>
      <c r="B348" s="132"/>
      <c r="C348" s="132"/>
      <c r="D348" s="132"/>
      <c r="E348" s="132"/>
      <c r="F348" s="132"/>
      <c r="G348" s="132"/>
      <c r="H348" s="132"/>
      <c r="I348" s="132"/>
      <c r="J348" s="132"/>
    </row>
    <row r="349" spans="1:10" ht="12.75">
      <c r="A349" s="131"/>
      <c r="B349" s="132"/>
      <c r="C349" s="132"/>
      <c r="D349" s="132"/>
      <c r="E349" s="132"/>
      <c r="F349" s="132"/>
      <c r="G349" s="132"/>
      <c r="H349" s="132"/>
      <c r="I349" s="132"/>
      <c r="J349" s="132"/>
    </row>
    <row r="350" spans="1:10" ht="12.75">
      <c r="A350" s="131"/>
      <c r="B350" s="132"/>
      <c r="C350" s="132"/>
      <c r="D350" s="132"/>
      <c r="E350" s="132"/>
      <c r="F350" s="132"/>
      <c r="G350" s="132"/>
      <c r="H350" s="132"/>
      <c r="I350" s="132"/>
      <c r="J350" s="132"/>
    </row>
    <row r="351" spans="1:10" ht="12.75">
      <c r="A351" s="131"/>
      <c r="B351" s="132"/>
      <c r="C351" s="132"/>
      <c r="D351" s="132"/>
      <c r="E351" s="132"/>
      <c r="F351" s="132"/>
      <c r="G351" s="132"/>
      <c r="H351" s="132"/>
      <c r="I351" s="132"/>
      <c r="J351" s="132"/>
    </row>
    <row r="352" spans="1:10" ht="12.75">
      <c r="A352" s="131"/>
      <c r="B352" s="132"/>
      <c r="C352" s="132"/>
      <c r="D352" s="132"/>
      <c r="E352" s="132"/>
      <c r="F352" s="132"/>
      <c r="G352" s="132"/>
      <c r="H352" s="132"/>
      <c r="I352" s="132"/>
      <c r="J352" s="132"/>
    </row>
    <row r="353" spans="1:10" ht="12.75">
      <c r="A353" s="131"/>
      <c r="B353" s="132"/>
      <c r="C353" s="132"/>
      <c r="D353" s="132"/>
      <c r="E353" s="132"/>
      <c r="F353" s="132"/>
      <c r="G353" s="132"/>
      <c r="H353" s="132"/>
      <c r="I353" s="132"/>
      <c r="J353" s="132"/>
    </row>
    <row r="354" spans="1:10" ht="12.75">
      <c r="A354" s="131"/>
      <c r="B354" s="132"/>
      <c r="C354" s="132"/>
      <c r="D354" s="132"/>
      <c r="E354" s="132"/>
      <c r="F354" s="132"/>
      <c r="G354" s="132"/>
      <c r="H354" s="132"/>
      <c r="I354" s="132"/>
      <c r="J354" s="132"/>
    </row>
    <row r="355" spans="1:10" ht="12.75">
      <c r="A355" s="131"/>
      <c r="B355" s="132"/>
      <c r="C355" s="132"/>
      <c r="D355" s="132"/>
      <c r="E355" s="132"/>
      <c r="F355" s="132"/>
      <c r="G355" s="132"/>
      <c r="H355" s="132"/>
      <c r="I355" s="132"/>
      <c r="J355" s="132"/>
    </row>
    <row r="356" spans="1:10" ht="12.75">
      <c r="A356" s="131"/>
      <c r="B356" s="132"/>
      <c r="C356" s="132"/>
      <c r="D356" s="132"/>
      <c r="E356" s="132"/>
      <c r="F356" s="132"/>
      <c r="G356" s="132"/>
      <c r="H356" s="132"/>
      <c r="I356" s="132"/>
      <c r="J356" s="132"/>
    </row>
    <row r="357" spans="1:10" ht="12.75">
      <c r="A357" s="131"/>
      <c r="B357" s="132"/>
      <c r="C357" s="132"/>
      <c r="D357" s="132"/>
      <c r="E357" s="132"/>
      <c r="F357" s="132"/>
      <c r="G357" s="132"/>
      <c r="H357" s="132"/>
      <c r="I357" s="132"/>
      <c r="J357" s="132"/>
    </row>
    <row r="358" spans="1:10" ht="12.75">
      <c r="A358" s="131"/>
      <c r="B358" s="132"/>
      <c r="C358" s="132"/>
      <c r="D358" s="132"/>
      <c r="E358" s="132"/>
      <c r="F358" s="132"/>
      <c r="G358" s="132"/>
      <c r="H358" s="132"/>
      <c r="I358" s="132"/>
      <c r="J358" s="132"/>
    </row>
    <row r="359" spans="1:10" ht="12.75">
      <c r="A359" s="131"/>
      <c r="B359" s="132"/>
      <c r="C359" s="132"/>
      <c r="D359" s="132"/>
      <c r="E359" s="132"/>
      <c r="F359" s="132"/>
      <c r="G359" s="132"/>
      <c r="H359" s="132"/>
      <c r="I359" s="132"/>
      <c r="J359" s="132"/>
    </row>
    <row r="360" spans="1:10" ht="12.75">
      <c r="A360" s="131"/>
      <c r="B360" s="132"/>
      <c r="C360" s="132"/>
      <c r="D360" s="132"/>
      <c r="E360" s="132"/>
      <c r="F360" s="132"/>
      <c r="G360" s="132"/>
      <c r="H360" s="132"/>
      <c r="I360" s="132"/>
      <c r="J360" s="132"/>
    </row>
    <row r="361" spans="1:10" ht="12.75">
      <c r="A361" s="131"/>
      <c r="B361" s="132"/>
      <c r="C361" s="132"/>
      <c r="D361" s="132"/>
      <c r="E361" s="132"/>
      <c r="F361" s="132"/>
      <c r="G361" s="132"/>
      <c r="H361" s="132"/>
      <c r="I361" s="132"/>
      <c r="J361" s="132"/>
    </row>
    <row r="362" spans="1:10" ht="12.75">
      <c r="A362" s="131"/>
      <c r="B362" s="132"/>
      <c r="C362" s="132"/>
      <c r="D362" s="132"/>
      <c r="E362" s="132"/>
      <c r="F362" s="132"/>
      <c r="G362" s="132"/>
      <c r="H362" s="132"/>
      <c r="I362" s="132"/>
      <c r="J362" s="132"/>
    </row>
    <row r="363" spans="1:10" ht="12.75">
      <c r="A363" s="131"/>
      <c r="B363" s="132"/>
      <c r="C363" s="132"/>
      <c r="D363" s="132"/>
      <c r="E363" s="132"/>
      <c r="F363" s="132"/>
      <c r="G363" s="132"/>
      <c r="H363" s="132"/>
      <c r="I363" s="132"/>
      <c r="J363" s="132"/>
    </row>
    <row r="364" spans="1:10" ht="12.75">
      <c r="A364" s="131"/>
      <c r="B364" s="132"/>
      <c r="C364" s="132"/>
      <c r="D364" s="132"/>
      <c r="E364" s="132"/>
      <c r="F364" s="132"/>
      <c r="G364" s="132"/>
      <c r="H364" s="132"/>
      <c r="I364" s="132"/>
      <c r="J364" s="132"/>
    </row>
    <row r="365" spans="1:10" ht="12.75">
      <c r="A365" s="131"/>
      <c r="B365" s="132"/>
      <c r="C365" s="132"/>
      <c r="D365" s="132"/>
      <c r="E365" s="132"/>
      <c r="F365" s="132"/>
      <c r="G365" s="132"/>
      <c r="H365" s="132"/>
      <c r="I365" s="132"/>
      <c r="J365" s="132"/>
    </row>
    <row r="366" spans="1:10" ht="12.75">
      <c r="A366" s="131"/>
      <c r="B366" s="132"/>
      <c r="C366" s="132"/>
      <c r="D366" s="132"/>
      <c r="E366" s="132"/>
      <c r="F366" s="132"/>
      <c r="G366" s="132"/>
      <c r="H366" s="132"/>
      <c r="I366" s="132"/>
      <c r="J366" s="132"/>
    </row>
    <row r="367" spans="1:10" ht="12.75">
      <c r="A367" s="131"/>
      <c r="B367" s="132"/>
      <c r="C367" s="132"/>
      <c r="D367" s="132"/>
      <c r="E367" s="132"/>
      <c r="F367" s="132"/>
      <c r="G367" s="132"/>
      <c r="H367" s="132"/>
      <c r="I367" s="132"/>
      <c r="J367" s="132"/>
    </row>
    <row r="368" spans="1:10" ht="12.75">
      <c r="A368" s="131"/>
      <c r="B368" s="132"/>
      <c r="C368" s="132"/>
      <c r="D368" s="132"/>
      <c r="E368" s="132"/>
      <c r="F368" s="132"/>
      <c r="G368" s="132"/>
      <c r="H368" s="132"/>
      <c r="I368" s="132"/>
      <c r="J368" s="132"/>
    </row>
    <row r="369" spans="1:10" ht="12.75">
      <c r="A369" s="131"/>
      <c r="B369" s="132"/>
      <c r="C369" s="132"/>
      <c r="D369" s="132"/>
      <c r="E369" s="132"/>
      <c r="F369" s="132"/>
      <c r="G369" s="132"/>
      <c r="H369" s="132"/>
      <c r="I369" s="132"/>
      <c r="J369" s="132"/>
    </row>
    <row r="370" spans="1:10" ht="12.75">
      <c r="A370" s="131"/>
      <c r="B370" s="132"/>
      <c r="C370" s="132"/>
      <c r="D370" s="132"/>
      <c r="E370" s="132"/>
      <c r="F370" s="132"/>
      <c r="G370" s="132"/>
      <c r="H370" s="132"/>
      <c r="I370" s="132"/>
      <c r="J370" s="132"/>
    </row>
    <row r="371" spans="1:10" ht="12.75">
      <c r="A371" s="131"/>
      <c r="B371" s="132"/>
      <c r="C371" s="132"/>
      <c r="D371" s="132"/>
      <c r="E371" s="132"/>
      <c r="F371" s="132"/>
      <c r="G371" s="132"/>
      <c r="H371" s="132"/>
      <c r="I371" s="132"/>
      <c r="J371" s="132"/>
    </row>
    <row r="372" spans="1:10" ht="12.75">
      <c r="A372" s="131"/>
      <c r="B372" s="132"/>
      <c r="C372" s="132"/>
      <c r="D372" s="132"/>
      <c r="E372" s="132"/>
      <c r="F372" s="132"/>
      <c r="G372" s="132"/>
      <c r="H372" s="132"/>
      <c r="I372" s="132"/>
      <c r="J372" s="132"/>
    </row>
    <row r="373" spans="1:10" ht="12.75">
      <c r="A373" s="131"/>
      <c r="B373" s="132"/>
      <c r="C373" s="132"/>
      <c r="D373" s="132"/>
      <c r="E373" s="132"/>
      <c r="F373" s="132"/>
      <c r="G373" s="132"/>
      <c r="H373" s="132"/>
      <c r="I373" s="132"/>
      <c r="J373" s="132"/>
    </row>
    <row r="374" spans="1:10" ht="12.75">
      <c r="A374" s="131"/>
      <c r="B374" s="132"/>
      <c r="C374" s="132"/>
      <c r="D374" s="132"/>
      <c r="E374" s="132"/>
      <c r="F374" s="132"/>
      <c r="G374" s="132"/>
      <c r="H374" s="132"/>
      <c r="I374" s="132"/>
      <c r="J374" s="132"/>
    </row>
    <row r="375" spans="1:10" ht="12.75">
      <c r="A375" s="131"/>
      <c r="B375" s="132"/>
      <c r="C375" s="132"/>
      <c r="D375" s="132"/>
      <c r="E375" s="132"/>
      <c r="F375" s="132"/>
      <c r="G375" s="132"/>
      <c r="H375" s="132"/>
      <c r="I375" s="132"/>
      <c r="J375" s="132"/>
    </row>
    <row r="376" spans="1:10" ht="12.75">
      <c r="A376" s="131"/>
      <c r="B376" s="132"/>
      <c r="C376" s="132"/>
      <c r="D376" s="132"/>
      <c r="E376" s="132"/>
      <c r="F376" s="132"/>
      <c r="G376" s="132"/>
      <c r="H376" s="132"/>
      <c r="I376" s="132"/>
      <c r="J376" s="132"/>
    </row>
    <row r="377" spans="1:10" ht="12.75">
      <c r="A377" s="131"/>
      <c r="B377" s="132"/>
      <c r="C377" s="132"/>
      <c r="D377" s="132"/>
      <c r="E377" s="132"/>
      <c r="F377" s="132"/>
      <c r="G377" s="132"/>
      <c r="H377" s="132"/>
      <c r="I377" s="132"/>
      <c r="J377" s="132"/>
    </row>
    <row r="378" spans="1:10" ht="12.75">
      <c r="A378" s="131"/>
      <c r="B378" s="132"/>
      <c r="C378" s="132"/>
      <c r="D378" s="132"/>
      <c r="E378" s="132"/>
      <c r="F378" s="132"/>
      <c r="G378" s="132"/>
      <c r="H378" s="132"/>
      <c r="I378" s="132"/>
      <c r="J378" s="132"/>
    </row>
    <row r="379" spans="1:10" ht="12.75">
      <c r="A379" s="131"/>
      <c r="B379" s="132"/>
      <c r="C379" s="132"/>
      <c r="D379" s="132"/>
      <c r="E379" s="132"/>
      <c r="F379" s="132"/>
      <c r="G379" s="132"/>
      <c r="H379" s="132"/>
      <c r="I379" s="132"/>
      <c r="J379" s="132"/>
    </row>
    <row r="380" spans="1:10" ht="12.75">
      <c r="A380" s="131"/>
      <c r="B380" s="132"/>
      <c r="C380" s="132"/>
      <c r="D380" s="132"/>
      <c r="E380" s="132"/>
      <c r="F380" s="132"/>
      <c r="G380" s="132"/>
      <c r="H380" s="132"/>
      <c r="I380" s="132"/>
      <c r="J380" s="132"/>
    </row>
    <row r="381" spans="1:10" ht="12.75">
      <c r="A381" s="131"/>
      <c r="B381" s="132"/>
      <c r="C381" s="132"/>
      <c r="D381" s="132"/>
      <c r="E381" s="132"/>
      <c r="F381" s="132"/>
      <c r="G381" s="132"/>
      <c r="H381" s="132"/>
      <c r="I381" s="132"/>
      <c r="J381" s="132"/>
    </row>
    <row r="382" spans="1:10" ht="12.75">
      <c r="A382" s="131"/>
      <c r="B382" s="132"/>
      <c r="C382" s="132"/>
      <c r="D382" s="132"/>
      <c r="E382" s="132"/>
      <c r="F382" s="132"/>
      <c r="G382" s="132"/>
      <c r="H382" s="132"/>
      <c r="I382" s="132"/>
      <c r="J382" s="132"/>
    </row>
    <row r="383" spans="1:10" ht="12.75">
      <c r="A383" s="131"/>
      <c r="B383" s="132"/>
      <c r="C383" s="132"/>
      <c r="D383" s="132"/>
      <c r="E383" s="132"/>
      <c r="F383" s="132"/>
      <c r="G383" s="132"/>
      <c r="H383" s="132"/>
      <c r="I383" s="132"/>
      <c r="J383" s="132"/>
    </row>
    <row r="384" spans="1:10" ht="12.75">
      <c r="A384" s="131"/>
      <c r="B384" s="132"/>
      <c r="C384" s="132"/>
      <c r="D384" s="132"/>
      <c r="E384" s="132"/>
      <c r="F384" s="132"/>
      <c r="G384" s="132"/>
      <c r="H384" s="132"/>
      <c r="I384" s="132"/>
      <c r="J384" s="132"/>
    </row>
    <row r="385" spans="1:10" ht="12.75">
      <c r="A385" s="131"/>
      <c r="B385" s="132"/>
      <c r="C385" s="132"/>
      <c r="D385" s="132"/>
      <c r="E385" s="132"/>
      <c r="F385" s="132"/>
      <c r="G385" s="132"/>
      <c r="H385" s="132"/>
      <c r="I385" s="132"/>
      <c r="J385" s="132"/>
    </row>
    <row r="386" spans="1:10" ht="12.75">
      <c r="A386" s="131"/>
      <c r="B386" s="132"/>
      <c r="C386" s="132"/>
      <c r="D386" s="132"/>
      <c r="E386" s="132"/>
      <c r="F386" s="132"/>
      <c r="G386" s="132"/>
      <c r="H386" s="132"/>
      <c r="I386" s="132"/>
      <c r="J386" s="132"/>
    </row>
    <row r="387" spans="1:10" ht="12.75">
      <c r="A387" s="131"/>
      <c r="B387" s="132"/>
      <c r="C387" s="132"/>
      <c r="D387" s="132"/>
      <c r="E387" s="132"/>
      <c r="F387" s="132"/>
      <c r="G387" s="132"/>
      <c r="H387" s="132"/>
      <c r="I387" s="132"/>
      <c r="J387" s="132"/>
    </row>
    <row r="388" spans="1:10" ht="12.75">
      <c r="A388" s="131"/>
      <c r="B388" s="132"/>
      <c r="C388" s="132"/>
      <c r="D388" s="132"/>
      <c r="E388" s="132"/>
      <c r="F388" s="132"/>
      <c r="G388" s="132"/>
      <c r="H388" s="132"/>
      <c r="I388" s="132"/>
      <c r="J388" s="132"/>
    </row>
    <row r="389" spans="1:10" ht="12.75">
      <c r="A389" s="131"/>
      <c r="B389" s="132"/>
      <c r="C389" s="132"/>
      <c r="D389" s="132"/>
      <c r="E389" s="132"/>
      <c r="F389" s="132"/>
      <c r="G389" s="132"/>
      <c r="H389" s="132"/>
      <c r="I389" s="132"/>
      <c r="J389" s="132"/>
    </row>
    <row r="390" spans="1:10" ht="12.75">
      <c r="A390" s="131"/>
      <c r="B390" s="132"/>
      <c r="C390" s="132"/>
      <c r="D390" s="132"/>
      <c r="E390" s="132"/>
      <c r="F390" s="132"/>
      <c r="G390" s="132"/>
      <c r="H390" s="132"/>
      <c r="I390" s="132"/>
      <c r="J390" s="132"/>
    </row>
    <row r="391" spans="1:10" ht="12.75">
      <c r="A391" s="131"/>
      <c r="B391" s="132"/>
      <c r="C391" s="132"/>
      <c r="D391" s="132"/>
      <c r="E391" s="132"/>
      <c r="F391" s="132"/>
      <c r="G391" s="132"/>
      <c r="H391" s="132"/>
      <c r="I391" s="132"/>
      <c r="J391" s="132"/>
    </row>
    <row r="392" spans="1:10" ht="12.75">
      <c r="A392" s="131"/>
      <c r="B392" s="132"/>
      <c r="C392" s="132"/>
      <c r="D392" s="132"/>
      <c r="E392" s="132"/>
      <c r="F392" s="132"/>
      <c r="G392" s="132"/>
      <c r="H392" s="132"/>
      <c r="I392" s="132"/>
      <c r="J392" s="132"/>
    </row>
    <row r="393" spans="1:10" ht="12.75">
      <c r="A393" s="131"/>
      <c r="B393" s="132"/>
      <c r="C393" s="132"/>
      <c r="D393" s="132"/>
      <c r="E393" s="132"/>
      <c r="F393" s="132"/>
      <c r="G393" s="132"/>
      <c r="H393" s="132"/>
      <c r="I393" s="132"/>
      <c r="J393" s="132"/>
    </row>
    <row r="394" spans="1:10" ht="12.75">
      <c r="A394" s="131"/>
      <c r="B394" s="132"/>
      <c r="C394" s="132"/>
      <c r="D394" s="132"/>
      <c r="E394" s="132"/>
      <c r="F394" s="132"/>
      <c r="G394" s="132"/>
      <c r="H394" s="132"/>
      <c r="I394" s="132"/>
      <c r="J394" s="132"/>
    </row>
    <row r="395" spans="1:10" ht="12.75">
      <c r="A395" s="131"/>
      <c r="B395" s="132"/>
      <c r="C395" s="132"/>
      <c r="D395" s="132"/>
      <c r="E395" s="132"/>
      <c r="F395" s="132"/>
      <c r="G395" s="132"/>
      <c r="H395" s="132"/>
      <c r="I395" s="132"/>
      <c r="J395" s="132"/>
    </row>
    <row r="396" spans="1:10" ht="12.75">
      <c r="A396" s="131"/>
      <c r="B396" s="132"/>
      <c r="C396" s="132"/>
      <c r="D396" s="132"/>
      <c r="E396" s="132"/>
      <c r="F396" s="132"/>
      <c r="G396" s="132"/>
      <c r="H396" s="132"/>
      <c r="I396" s="132"/>
      <c r="J396" s="132"/>
    </row>
    <row r="397" spans="1:10" ht="12.75">
      <c r="A397" s="131"/>
      <c r="B397" s="132"/>
      <c r="C397" s="132"/>
      <c r="D397" s="132"/>
      <c r="E397" s="132"/>
      <c r="F397" s="132"/>
      <c r="G397" s="132"/>
      <c r="H397" s="132"/>
      <c r="I397" s="132"/>
      <c r="J397" s="132"/>
    </row>
    <row r="398" spans="1:10" ht="12.75">
      <c r="A398" s="131"/>
      <c r="B398" s="132"/>
      <c r="C398" s="132"/>
      <c r="D398" s="132"/>
      <c r="E398" s="132"/>
      <c r="F398" s="132"/>
      <c r="G398" s="132"/>
      <c r="H398" s="132"/>
      <c r="I398" s="132"/>
      <c r="J398" s="132"/>
    </row>
    <row r="399" spans="1:10" ht="12.75">
      <c r="A399" s="131"/>
      <c r="B399" s="132"/>
      <c r="C399" s="132"/>
      <c r="D399" s="132"/>
      <c r="E399" s="132"/>
      <c r="F399" s="132"/>
      <c r="G399" s="132"/>
      <c r="H399" s="132"/>
      <c r="I399" s="132"/>
      <c r="J399" s="132"/>
    </row>
    <row r="400" spans="1:10" ht="12.75">
      <c r="A400" s="131"/>
      <c r="B400" s="132"/>
      <c r="C400" s="132"/>
      <c r="D400" s="132"/>
      <c r="E400" s="132"/>
      <c r="F400" s="132"/>
      <c r="G400" s="132"/>
      <c r="H400" s="132"/>
      <c r="I400" s="132"/>
      <c r="J400" s="132"/>
    </row>
    <row r="401" spans="1:10" ht="12.75">
      <c r="A401" s="131"/>
      <c r="B401" s="132"/>
      <c r="C401" s="132"/>
      <c r="D401" s="132"/>
      <c r="E401" s="132"/>
      <c r="F401" s="132"/>
      <c r="G401" s="132"/>
      <c r="H401" s="132"/>
      <c r="I401" s="132"/>
      <c r="J401" s="132"/>
    </row>
    <row r="402" spans="1:10" ht="12.75">
      <c r="A402" s="131"/>
      <c r="B402" s="132"/>
      <c r="C402" s="132"/>
      <c r="D402" s="132"/>
      <c r="E402" s="132"/>
      <c r="F402" s="132"/>
      <c r="G402" s="132"/>
      <c r="H402" s="132"/>
      <c r="I402" s="132"/>
      <c r="J402" s="132"/>
    </row>
    <row r="403" spans="1:10" ht="12.75">
      <c r="A403" s="131"/>
      <c r="B403" s="132"/>
      <c r="C403" s="132"/>
      <c r="D403" s="132"/>
      <c r="E403" s="132"/>
      <c r="F403" s="132"/>
      <c r="G403" s="132"/>
      <c r="H403" s="132"/>
      <c r="I403" s="132"/>
      <c r="J403" s="132"/>
    </row>
    <row r="404" spans="1:10" ht="12.75">
      <c r="A404" s="131"/>
      <c r="B404" s="132"/>
      <c r="C404" s="132"/>
      <c r="D404" s="132"/>
      <c r="E404" s="132"/>
      <c r="F404" s="132"/>
      <c r="G404" s="132"/>
      <c r="H404" s="132"/>
      <c r="I404" s="132"/>
      <c r="J404" s="132"/>
    </row>
    <row r="405" spans="1:10" ht="12.75">
      <c r="A405" s="131"/>
      <c r="B405" s="132"/>
      <c r="C405" s="132"/>
      <c r="D405" s="132"/>
      <c r="E405" s="132"/>
      <c r="F405" s="132"/>
      <c r="G405" s="132"/>
      <c r="H405" s="132"/>
      <c r="I405" s="132"/>
      <c r="J405" s="132"/>
    </row>
    <row r="406" spans="1:10" ht="12.75">
      <c r="A406" s="131"/>
      <c r="B406" s="132"/>
      <c r="C406" s="132"/>
      <c r="D406" s="132"/>
      <c r="E406" s="132"/>
      <c r="F406" s="132"/>
      <c r="G406" s="132"/>
      <c r="H406" s="132"/>
      <c r="I406" s="132"/>
      <c r="J406" s="132"/>
    </row>
    <row r="407" spans="1:10" ht="12.75">
      <c r="A407" s="131"/>
      <c r="B407" s="132"/>
      <c r="C407" s="132"/>
      <c r="D407" s="132"/>
      <c r="E407" s="132"/>
      <c r="F407" s="132"/>
      <c r="G407" s="132"/>
      <c r="H407" s="132"/>
      <c r="I407" s="132"/>
      <c r="J407" s="132"/>
    </row>
    <row r="408" spans="1:10" ht="12.75">
      <c r="A408" s="131"/>
      <c r="B408" s="132"/>
      <c r="C408" s="132"/>
      <c r="D408" s="132"/>
      <c r="E408" s="132"/>
      <c r="F408" s="132"/>
      <c r="G408" s="132"/>
      <c r="H408" s="132"/>
      <c r="I408" s="132"/>
      <c r="J408" s="132"/>
    </row>
    <row r="409" spans="1:10" ht="12.75">
      <c r="A409" s="131"/>
      <c r="B409" s="132"/>
      <c r="C409" s="132"/>
      <c r="D409" s="132"/>
      <c r="E409" s="132"/>
      <c r="F409" s="132"/>
      <c r="G409" s="132"/>
      <c r="H409" s="132"/>
      <c r="I409" s="132"/>
      <c r="J409" s="132"/>
    </row>
    <row r="410" spans="1:10" ht="12.75">
      <c r="A410" s="131"/>
      <c r="B410" s="132"/>
      <c r="C410" s="132"/>
      <c r="D410" s="132"/>
      <c r="E410" s="132"/>
      <c r="F410" s="132"/>
      <c r="G410" s="132"/>
      <c r="H410" s="132"/>
      <c r="I410" s="132"/>
      <c r="J410" s="132"/>
    </row>
    <row r="411" spans="1:10" ht="12.75">
      <c r="A411" s="131"/>
      <c r="B411" s="132"/>
      <c r="C411" s="132"/>
      <c r="D411" s="132"/>
      <c r="E411" s="132"/>
      <c r="F411" s="132"/>
      <c r="G411" s="132"/>
      <c r="H411" s="132"/>
      <c r="I411" s="132"/>
      <c r="J411" s="132"/>
    </row>
    <row r="412" spans="1:10" ht="12.75">
      <c r="A412" s="131"/>
      <c r="B412" s="132"/>
      <c r="C412" s="132"/>
      <c r="D412" s="132"/>
      <c r="E412" s="132"/>
      <c r="F412" s="132"/>
      <c r="G412" s="132"/>
      <c r="H412" s="132"/>
      <c r="I412" s="132"/>
      <c r="J412" s="132"/>
    </row>
    <row r="413" spans="1:10" ht="12.75">
      <c r="A413" s="131"/>
      <c r="B413" s="132"/>
      <c r="C413" s="132"/>
      <c r="D413" s="132"/>
      <c r="E413" s="132"/>
      <c r="F413" s="132"/>
      <c r="G413" s="132"/>
      <c r="H413" s="132"/>
      <c r="I413" s="132"/>
      <c r="J413" s="132"/>
    </row>
    <row r="414" spans="1:10" ht="12.75">
      <c r="A414" s="131"/>
      <c r="B414" s="132"/>
      <c r="C414" s="132"/>
      <c r="D414" s="132"/>
      <c r="E414" s="132"/>
      <c r="F414" s="132"/>
      <c r="G414" s="132"/>
      <c r="H414" s="132"/>
      <c r="I414" s="132"/>
      <c r="J414" s="132"/>
    </row>
    <row r="415" spans="1:10" ht="12.75">
      <c r="A415" s="131"/>
      <c r="B415" s="132"/>
      <c r="C415" s="132"/>
      <c r="D415" s="132"/>
      <c r="E415" s="132"/>
      <c r="F415" s="132"/>
      <c r="G415" s="132"/>
      <c r="H415" s="132"/>
      <c r="I415" s="132"/>
      <c r="J415" s="132"/>
    </row>
    <row r="416" spans="1:10" ht="12.75">
      <c r="A416" s="131"/>
      <c r="B416" s="132"/>
      <c r="C416" s="132"/>
      <c r="D416" s="132"/>
      <c r="E416" s="132"/>
      <c r="F416" s="132"/>
      <c r="G416" s="132"/>
      <c r="H416" s="132"/>
      <c r="I416" s="132"/>
      <c r="J416" s="132"/>
    </row>
    <row r="417" spans="1:10" ht="12.75">
      <c r="A417" s="131"/>
      <c r="B417" s="132"/>
      <c r="C417" s="132"/>
      <c r="D417" s="132"/>
      <c r="E417" s="132"/>
      <c r="F417" s="132"/>
      <c r="G417" s="132"/>
      <c r="H417" s="132"/>
      <c r="I417" s="132"/>
      <c r="J417" s="132"/>
    </row>
    <row r="418" spans="1:10" ht="12.75">
      <c r="A418" s="131"/>
      <c r="B418" s="132"/>
      <c r="C418" s="132"/>
      <c r="D418" s="132"/>
      <c r="E418" s="132"/>
      <c r="F418" s="132"/>
      <c r="G418" s="132"/>
      <c r="H418" s="132"/>
      <c r="I418" s="132"/>
      <c r="J418" s="132"/>
    </row>
    <row r="419" spans="1:10" ht="12.75">
      <c r="A419" s="131"/>
      <c r="B419" s="132"/>
      <c r="C419" s="132"/>
      <c r="D419" s="132"/>
      <c r="E419" s="132"/>
      <c r="F419" s="132"/>
      <c r="G419" s="132"/>
      <c r="H419" s="132"/>
      <c r="I419" s="132"/>
      <c r="J419" s="132"/>
    </row>
    <row r="420" spans="1:10" ht="12.75">
      <c r="A420" s="131"/>
      <c r="B420" s="132"/>
      <c r="C420" s="132"/>
      <c r="D420" s="132"/>
      <c r="E420" s="132"/>
      <c r="F420" s="132"/>
      <c r="G420" s="132"/>
      <c r="H420" s="132"/>
      <c r="I420" s="132"/>
      <c r="J420" s="132"/>
    </row>
    <row r="421" spans="1:10" ht="12.75">
      <c r="A421" s="131"/>
      <c r="B421" s="132"/>
      <c r="C421" s="132"/>
      <c r="D421" s="132"/>
      <c r="E421" s="132"/>
      <c r="F421" s="132"/>
      <c r="G421" s="132"/>
      <c r="H421" s="132"/>
      <c r="I421" s="132"/>
      <c r="J421" s="132"/>
    </row>
    <row r="422" spans="1:10" ht="12.75">
      <c r="A422" s="131"/>
      <c r="B422" s="132"/>
      <c r="C422" s="132"/>
      <c r="D422" s="132"/>
      <c r="E422" s="132"/>
      <c r="F422" s="132"/>
      <c r="G422" s="132"/>
      <c r="H422" s="132"/>
      <c r="I422" s="132"/>
      <c r="J422" s="132"/>
    </row>
    <row r="423" spans="1:10" ht="12.75">
      <c r="A423" s="131"/>
      <c r="B423" s="132"/>
      <c r="C423" s="132"/>
      <c r="D423" s="132"/>
      <c r="E423" s="132"/>
      <c r="F423" s="132"/>
      <c r="G423" s="132"/>
      <c r="H423" s="132"/>
      <c r="I423" s="132"/>
      <c r="J423" s="132"/>
    </row>
    <row r="424" spans="1:10" ht="12.75">
      <c r="A424" s="131"/>
      <c r="B424" s="132"/>
      <c r="C424" s="132"/>
      <c r="D424" s="132"/>
      <c r="E424" s="132"/>
      <c r="F424" s="132"/>
      <c r="G424" s="132"/>
      <c r="H424" s="132"/>
      <c r="I424" s="132"/>
      <c r="J424" s="132"/>
    </row>
    <row r="425" spans="1:10" ht="12.75">
      <c r="A425" s="131"/>
      <c r="B425" s="132"/>
      <c r="C425" s="132"/>
      <c r="D425" s="132"/>
      <c r="E425" s="132"/>
      <c r="F425" s="132"/>
      <c r="G425" s="132"/>
      <c r="H425" s="132"/>
      <c r="I425" s="132"/>
      <c r="J425" s="132"/>
    </row>
    <row r="426" spans="1:10" ht="12.75">
      <c r="A426" s="131"/>
      <c r="B426" s="132"/>
      <c r="C426" s="132"/>
      <c r="D426" s="132"/>
      <c r="E426" s="132"/>
      <c r="F426" s="132"/>
      <c r="G426" s="132"/>
      <c r="H426" s="132"/>
      <c r="I426" s="132"/>
      <c r="J426" s="132"/>
    </row>
    <row r="427" spans="1:10" ht="12.75">
      <c r="A427" s="131"/>
      <c r="B427" s="132"/>
      <c r="C427" s="132"/>
      <c r="D427" s="132"/>
      <c r="E427" s="132"/>
      <c r="F427" s="132"/>
      <c r="G427" s="132"/>
      <c r="H427" s="132"/>
      <c r="I427" s="132"/>
      <c r="J427" s="132"/>
    </row>
    <row r="428" spans="1:10" ht="12.75">
      <c r="A428" s="131"/>
      <c r="B428" s="132"/>
      <c r="C428" s="132"/>
      <c r="D428" s="132"/>
      <c r="E428" s="132"/>
      <c r="F428" s="132"/>
      <c r="G428" s="132"/>
      <c r="H428" s="132"/>
      <c r="I428" s="132"/>
      <c r="J428" s="132"/>
    </row>
    <row r="429" spans="1:10" ht="12.75">
      <c r="A429" s="131"/>
      <c r="B429" s="132"/>
      <c r="C429" s="132"/>
      <c r="D429" s="132"/>
      <c r="E429" s="132"/>
      <c r="F429" s="132"/>
      <c r="G429" s="132"/>
      <c r="H429" s="132"/>
      <c r="I429" s="132"/>
      <c r="J429" s="132"/>
    </row>
    <row r="430" spans="1:10" ht="12.75">
      <c r="A430" s="131"/>
      <c r="B430" s="132"/>
      <c r="C430" s="132"/>
      <c r="D430" s="132"/>
      <c r="E430" s="132"/>
      <c r="F430" s="132"/>
      <c r="G430" s="132"/>
      <c r="H430" s="132"/>
      <c r="I430" s="132"/>
      <c r="J430" s="132"/>
    </row>
    <row r="431" spans="1:10" ht="12.75">
      <c r="A431" s="131"/>
      <c r="B431" s="132"/>
      <c r="C431" s="132"/>
      <c r="D431" s="132"/>
      <c r="E431" s="132"/>
      <c r="F431" s="132"/>
      <c r="G431" s="132"/>
      <c r="H431" s="132"/>
      <c r="I431" s="132"/>
      <c r="J431" s="132"/>
    </row>
    <row r="432" spans="1:10" ht="12.75">
      <c r="A432" s="131"/>
      <c r="B432" s="132"/>
      <c r="C432" s="132"/>
      <c r="D432" s="132"/>
      <c r="E432" s="132"/>
      <c r="F432" s="132"/>
      <c r="G432" s="132"/>
      <c r="H432" s="132"/>
      <c r="I432" s="132"/>
      <c r="J432" s="132"/>
    </row>
    <row r="433" spans="1:10" ht="12.75">
      <c r="A433" s="131"/>
      <c r="B433" s="132"/>
      <c r="C433" s="132"/>
      <c r="D433" s="132"/>
      <c r="E433" s="132"/>
      <c r="F433" s="132"/>
      <c r="G433" s="132"/>
      <c r="H433" s="132"/>
      <c r="I433" s="132"/>
      <c r="J433" s="132"/>
    </row>
    <row r="434" spans="1:10" ht="12.75">
      <c r="A434" s="131"/>
      <c r="B434" s="132"/>
      <c r="C434" s="132"/>
      <c r="D434" s="132"/>
      <c r="E434" s="132"/>
      <c r="F434" s="132"/>
      <c r="G434" s="132"/>
      <c r="H434" s="132"/>
      <c r="I434" s="132"/>
      <c r="J434" s="132"/>
    </row>
    <row r="435" spans="1:10" ht="12.75">
      <c r="A435" s="131"/>
      <c r="B435" s="132"/>
      <c r="C435" s="132"/>
      <c r="D435" s="132"/>
      <c r="E435" s="132"/>
      <c r="F435" s="132"/>
      <c r="G435" s="132"/>
      <c r="H435" s="132"/>
      <c r="I435" s="132"/>
      <c r="J435" s="132"/>
    </row>
    <row r="436" spans="1:10" ht="12.75">
      <c r="A436" s="131"/>
      <c r="B436" s="132"/>
      <c r="C436" s="132"/>
      <c r="D436" s="132"/>
      <c r="E436" s="132"/>
      <c r="F436" s="132"/>
      <c r="G436" s="132"/>
      <c r="H436" s="132"/>
      <c r="I436" s="132"/>
      <c r="J436" s="132"/>
    </row>
    <row r="437" spans="1:10" ht="12.75">
      <c r="A437" s="131"/>
      <c r="B437" s="132"/>
      <c r="C437" s="132"/>
      <c r="D437" s="132"/>
      <c r="E437" s="132"/>
      <c r="F437" s="132"/>
      <c r="G437" s="132"/>
      <c r="H437" s="132"/>
      <c r="I437" s="132"/>
      <c r="J437" s="132"/>
    </row>
    <row r="438" spans="1:10" ht="12.75">
      <c r="A438" s="131"/>
      <c r="B438" s="132"/>
      <c r="C438" s="132"/>
      <c r="D438" s="132"/>
      <c r="E438" s="132"/>
      <c r="F438" s="132"/>
      <c r="G438" s="132"/>
      <c r="H438" s="132"/>
      <c r="I438" s="132"/>
      <c r="J438" s="132"/>
    </row>
    <row r="439" spans="1:10" ht="12.75">
      <c r="A439" s="131"/>
      <c r="B439" s="132"/>
      <c r="C439" s="132"/>
      <c r="D439" s="132"/>
      <c r="E439" s="132"/>
      <c r="F439" s="132"/>
      <c r="G439" s="132"/>
      <c r="H439" s="132"/>
      <c r="I439" s="132"/>
      <c r="J439" s="132"/>
    </row>
    <row r="440" spans="1:10" ht="12.75">
      <c r="A440" s="131"/>
      <c r="B440" s="132"/>
      <c r="C440" s="132"/>
      <c r="D440" s="132"/>
      <c r="E440" s="132"/>
      <c r="F440" s="132"/>
      <c r="G440" s="132"/>
      <c r="H440" s="132"/>
      <c r="I440" s="132"/>
      <c r="J440" s="132"/>
    </row>
    <row r="441" spans="1:10" ht="12.75">
      <c r="A441" s="131"/>
      <c r="B441" s="132"/>
      <c r="C441" s="132"/>
      <c r="D441" s="132"/>
      <c r="E441" s="132"/>
      <c r="F441" s="132"/>
      <c r="G441" s="132"/>
      <c r="H441" s="132"/>
      <c r="I441" s="132"/>
      <c r="J441" s="132"/>
    </row>
    <row r="442" spans="1:10" ht="12.75">
      <c r="A442" s="131"/>
      <c r="B442" s="132"/>
      <c r="C442" s="132"/>
      <c r="D442" s="132"/>
      <c r="E442" s="132"/>
      <c r="F442" s="132"/>
      <c r="G442" s="132"/>
      <c r="H442" s="132"/>
      <c r="I442" s="132"/>
      <c r="J442" s="132"/>
    </row>
    <row r="443" spans="1:10" ht="12.75">
      <c r="A443" s="131"/>
      <c r="B443" s="132"/>
      <c r="C443" s="132"/>
      <c r="D443" s="132"/>
      <c r="E443" s="132"/>
      <c r="F443" s="132"/>
      <c r="G443" s="132"/>
      <c r="H443" s="132"/>
      <c r="I443" s="132"/>
      <c r="J443" s="132"/>
    </row>
    <row r="444" spans="1:10" ht="12.75">
      <c r="A444" s="131"/>
      <c r="B444" s="132"/>
      <c r="C444" s="132"/>
      <c r="D444" s="132"/>
      <c r="E444" s="132"/>
      <c r="F444" s="132"/>
      <c r="G444" s="132"/>
      <c r="H444" s="132"/>
      <c r="I444" s="132"/>
      <c r="J444" s="132"/>
    </row>
    <row r="445" spans="1:10" ht="12.75">
      <c r="A445" s="131"/>
      <c r="B445" s="132"/>
      <c r="C445" s="132"/>
      <c r="D445" s="132"/>
      <c r="E445" s="132"/>
      <c r="F445" s="132"/>
      <c r="G445" s="132"/>
      <c r="H445" s="132"/>
      <c r="I445" s="132"/>
      <c r="J445" s="132"/>
    </row>
    <row r="446" spans="1:10" ht="12.75">
      <c r="A446" s="131"/>
      <c r="B446" s="132"/>
      <c r="C446" s="132"/>
      <c r="D446" s="132"/>
      <c r="E446" s="132"/>
      <c r="F446" s="132"/>
      <c r="G446" s="132"/>
      <c r="H446" s="132"/>
      <c r="I446" s="132"/>
      <c r="J446" s="132"/>
    </row>
    <row r="447" spans="1:10" ht="12.75">
      <c r="A447" s="131"/>
      <c r="B447" s="132"/>
      <c r="C447" s="132"/>
      <c r="D447" s="132"/>
      <c r="E447" s="132"/>
      <c r="F447" s="132"/>
      <c r="G447" s="132"/>
      <c r="H447" s="132"/>
      <c r="I447" s="132"/>
      <c r="J447" s="132"/>
    </row>
    <row r="448" spans="1:10" ht="12.75">
      <c r="A448" s="131"/>
      <c r="B448" s="132"/>
      <c r="C448" s="132"/>
      <c r="D448" s="132"/>
      <c r="E448" s="132"/>
      <c r="F448" s="132"/>
      <c r="G448" s="132"/>
      <c r="H448" s="132"/>
      <c r="I448" s="132"/>
      <c r="J448" s="132"/>
    </row>
    <row r="449" spans="1:10" ht="12.75">
      <c r="A449" s="131"/>
      <c r="B449" s="132"/>
      <c r="C449" s="132"/>
      <c r="D449" s="132"/>
      <c r="E449" s="132"/>
      <c r="F449" s="132"/>
      <c r="G449" s="132"/>
      <c r="H449" s="132"/>
      <c r="I449" s="132"/>
      <c r="J449" s="132"/>
    </row>
    <row r="450" spans="1:10" ht="12.75">
      <c r="A450" s="131"/>
      <c r="B450" s="132"/>
      <c r="C450" s="132"/>
      <c r="D450" s="132"/>
      <c r="E450" s="132"/>
      <c r="F450" s="132"/>
      <c r="G450" s="132"/>
      <c r="H450" s="132"/>
      <c r="I450" s="132"/>
      <c r="J450" s="132"/>
    </row>
    <row r="451" spans="1:10" ht="12.75">
      <c r="A451" s="131"/>
      <c r="B451" s="132"/>
      <c r="C451" s="132"/>
      <c r="D451" s="132"/>
      <c r="E451" s="132"/>
      <c r="F451" s="132"/>
      <c r="G451" s="132"/>
      <c r="H451" s="132"/>
      <c r="I451" s="132"/>
      <c r="J451" s="132"/>
    </row>
    <row r="452" spans="1:10" ht="12.75">
      <c r="A452" s="131"/>
      <c r="B452" s="132"/>
      <c r="C452" s="132"/>
      <c r="D452" s="132"/>
      <c r="E452" s="132"/>
      <c r="F452" s="132"/>
      <c r="G452" s="132"/>
      <c r="H452" s="132"/>
      <c r="I452" s="132"/>
      <c r="J452" s="132"/>
    </row>
    <row r="453" spans="1:10" ht="12.75">
      <c r="A453" s="131"/>
      <c r="B453" s="132"/>
      <c r="C453" s="132"/>
      <c r="D453" s="132"/>
      <c r="E453" s="132"/>
      <c r="F453" s="132"/>
      <c r="G453" s="132"/>
      <c r="H453" s="132"/>
      <c r="I453" s="132"/>
      <c r="J453" s="132"/>
    </row>
    <row r="454" spans="1:10" ht="12.75">
      <c r="A454" s="131"/>
      <c r="B454" s="132"/>
      <c r="C454" s="132"/>
      <c r="D454" s="132"/>
      <c r="E454" s="132"/>
      <c r="F454" s="132"/>
      <c r="G454" s="132"/>
      <c r="H454" s="132"/>
      <c r="I454" s="132"/>
      <c r="J454" s="132"/>
    </row>
    <row r="455" spans="1:10" ht="12.75">
      <c r="A455" s="131"/>
      <c r="B455" s="132"/>
      <c r="C455" s="132"/>
      <c r="D455" s="132"/>
      <c r="E455" s="132"/>
      <c r="F455" s="132"/>
      <c r="G455" s="132"/>
      <c r="H455" s="132"/>
      <c r="I455" s="132"/>
      <c r="J455" s="132"/>
    </row>
    <row r="456" spans="1:10" ht="12.75">
      <c r="A456" s="131"/>
      <c r="B456" s="132"/>
      <c r="C456" s="132"/>
      <c r="D456" s="132"/>
      <c r="E456" s="132"/>
      <c r="F456" s="132"/>
      <c r="G456" s="132"/>
      <c r="H456" s="132"/>
      <c r="I456" s="132"/>
      <c r="J456" s="132"/>
    </row>
    <row r="457" spans="1:10" ht="12.75">
      <c r="A457" s="131"/>
      <c r="B457" s="132"/>
      <c r="C457" s="132"/>
      <c r="D457" s="132"/>
      <c r="E457" s="132"/>
      <c r="F457" s="132"/>
      <c r="G457" s="132"/>
      <c r="H457" s="132"/>
      <c r="I457" s="132"/>
      <c r="J457" s="132"/>
    </row>
    <row r="458" spans="1:10" ht="12.75">
      <c r="A458" s="131"/>
      <c r="B458" s="132"/>
      <c r="C458" s="132"/>
      <c r="D458" s="132"/>
      <c r="E458" s="132"/>
      <c r="F458" s="132"/>
      <c r="G458" s="132"/>
      <c r="H458" s="132"/>
      <c r="I458" s="132"/>
      <c r="J458" s="132"/>
    </row>
    <row r="459" spans="1:10" ht="12.75">
      <c r="A459" s="131"/>
      <c r="B459" s="132"/>
      <c r="C459" s="132"/>
      <c r="D459" s="132"/>
      <c r="E459" s="132"/>
      <c r="F459" s="132"/>
      <c r="G459" s="132"/>
      <c r="H459" s="132"/>
      <c r="I459" s="132"/>
      <c r="J459" s="132"/>
    </row>
    <row r="460" spans="1:10" ht="12.75">
      <c r="A460" s="131"/>
      <c r="B460" s="132"/>
      <c r="C460" s="132"/>
      <c r="D460" s="132"/>
      <c r="E460" s="132"/>
      <c r="F460" s="132"/>
      <c r="G460" s="132"/>
      <c r="H460" s="132"/>
      <c r="I460" s="132"/>
      <c r="J460" s="132"/>
    </row>
    <row r="461" spans="1:10" ht="12.75">
      <c r="A461" s="131"/>
      <c r="B461" s="132"/>
      <c r="C461" s="132"/>
      <c r="D461" s="132"/>
      <c r="E461" s="132"/>
      <c r="F461" s="132"/>
      <c r="G461" s="132"/>
      <c r="H461" s="132"/>
      <c r="I461" s="132"/>
      <c r="J461" s="132"/>
    </row>
    <row r="462" spans="1:10" ht="12.75">
      <c r="A462" s="131"/>
      <c r="B462" s="132"/>
      <c r="C462" s="132"/>
      <c r="D462" s="132"/>
      <c r="E462" s="132"/>
      <c r="F462" s="132"/>
      <c r="G462" s="132"/>
      <c r="H462" s="132"/>
      <c r="I462" s="132"/>
      <c r="J462" s="132"/>
    </row>
    <row r="463" spans="1:10" ht="12.75">
      <c r="A463" s="131"/>
      <c r="B463" s="132"/>
      <c r="C463" s="132"/>
      <c r="D463" s="132"/>
      <c r="E463" s="132"/>
      <c r="F463" s="132"/>
      <c r="G463" s="132"/>
      <c r="H463" s="132"/>
      <c r="I463" s="132"/>
      <c r="J463" s="132"/>
    </row>
    <row r="464" spans="1:10" ht="12.75">
      <c r="A464" s="131"/>
      <c r="B464" s="132"/>
      <c r="C464" s="132"/>
      <c r="D464" s="132"/>
      <c r="E464" s="132"/>
      <c r="F464" s="132"/>
      <c r="G464" s="132"/>
      <c r="H464" s="132"/>
      <c r="I464" s="132"/>
      <c r="J464" s="132"/>
    </row>
    <row r="465" spans="1:10" ht="12.75">
      <c r="A465" s="131"/>
      <c r="B465" s="132"/>
      <c r="C465" s="132"/>
      <c r="D465" s="132"/>
      <c r="E465" s="132"/>
      <c r="F465" s="132"/>
      <c r="G465" s="132"/>
      <c r="H465" s="132"/>
      <c r="I465" s="132"/>
      <c r="J465" s="132"/>
    </row>
    <row r="466" spans="1:10" ht="12.75">
      <c r="A466" s="131"/>
      <c r="B466" s="132"/>
      <c r="C466" s="132"/>
      <c r="D466" s="132"/>
      <c r="E466" s="132"/>
      <c r="F466" s="132"/>
      <c r="G466" s="132"/>
      <c r="H466" s="132"/>
      <c r="I466" s="132"/>
      <c r="J466" s="132"/>
    </row>
    <row r="467" spans="1:10" ht="12.75">
      <c r="A467" s="131"/>
      <c r="B467" s="132"/>
      <c r="C467" s="132"/>
      <c r="D467" s="132"/>
      <c r="E467" s="132"/>
      <c r="F467" s="132"/>
      <c r="G467" s="132"/>
      <c r="H467" s="132"/>
      <c r="I467" s="132"/>
      <c r="J467" s="132"/>
    </row>
    <row r="468" spans="1:10" ht="12.75">
      <c r="A468" s="131"/>
      <c r="B468" s="132"/>
      <c r="C468" s="132"/>
      <c r="D468" s="132"/>
      <c r="E468" s="132"/>
      <c r="F468" s="132"/>
      <c r="G468" s="132"/>
      <c r="H468" s="132"/>
      <c r="I468" s="132"/>
      <c r="J468" s="132"/>
    </row>
    <row r="469" spans="1:10" ht="12.75">
      <c r="A469" s="131"/>
      <c r="B469" s="132"/>
      <c r="C469" s="132"/>
      <c r="D469" s="132"/>
      <c r="E469" s="132"/>
      <c r="F469" s="132"/>
      <c r="G469" s="132"/>
      <c r="H469" s="132"/>
      <c r="I469" s="132"/>
      <c r="J469" s="132"/>
    </row>
    <row r="470" spans="1:10" ht="12.75">
      <c r="A470" s="131"/>
      <c r="B470" s="132"/>
      <c r="C470" s="132"/>
      <c r="D470" s="132"/>
      <c r="E470" s="132"/>
      <c r="F470" s="132"/>
      <c r="G470" s="132"/>
      <c r="H470" s="132"/>
      <c r="I470" s="132"/>
      <c r="J470" s="132"/>
    </row>
    <row r="471" spans="1:10" ht="12.75">
      <c r="A471" s="131"/>
      <c r="B471" s="132"/>
      <c r="C471" s="132"/>
      <c r="D471" s="132"/>
      <c r="E471" s="132"/>
      <c r="F471" s="132"/>
      <c r="G471" s="132"/>
      <c r="H471" s="132"/>
      <c r="I471" s="132"/>
      <c r="J471" s="132"/>
    </row>
    <row r="472" spans="1:10" ht="12.75">
      <c r="A472" s="131"/>
      <c r="B472" s="132"/>
      <c r="C472" s="132"/>
      <c r="D472" s="132"/>
      <c r="E472" s="132"/>
      <c r="F472" s="132"/>
      <c r="G472" s="132"/>
      <c r="H472" s="132"/>
      <c r="I472" s="132"/>
      <c r="J472" s="132"/>
    </row>
    <row r="473" spans="1:10" ht="12.75">
      <c r="A473" s="131"/>
      <c r="B473" s="132"/>
      <c r="C473" s="132"/>
      <c r="D473" s="132"/>
      <c r="E473" s="132"/>
      <c r="F473" s="132"/>
      <c r="G473" s="132"/>
      <c r="H473" s="132"/>
      <c r="I473" s="132"/>
      <c r="J473" s="132"/>
    </row>
    <row r="474" spans="1:10" ht="12.75">
      <c r="A474" s="131"/>
      <c r="B474" s="132"/>
      <c r="C474" s="132"/>
      <c r="D474" s="132"/>
      <c r="E474" s="132"/>
      <c r="F474" s="132"/>
      <c r="G474" s="132"/>
      <c r="H474" s="132"/>
      <c r="I474" s="132"/>
      <c r="J474" s="132"/>
    </row>
    <row r="475" spans="1:10" ht="12.75">
      <c r="A475" s="131"/>
      <c r="B475" s="132"/>
      <c r="C475" s="132"/>
      <c r="D475" s="132"/>
      <c r="E475" s="132"/>
      <c r="F475" s="132"/>
      <c r="G475" s="132"/>
      <c r="H475" s="132"/>
      <c r="I475" s="132"/>
      <c r="J475" s="132"/>
    </row>
    <row r="476" spans="1:10" ht="12.75">
      <c r="A476" s="131"/>
      <c r="B476" s="132"/>
      <c r="C476" s="132"/>
      <c r="D476" s="132"/>
      <c r="E476" s="132"/>
      <c r="F476" s="132"/>
      <c r="G476" s="132"/>
      <c r="H476" s="132"/>
      <c r="I476" s="132"/>
      <c r="J476" s="132"/>
    </row>
    <row r="477" spans="1:10" ht="12.75">
      <c r="A477" s="131"/>
      <c r="B477" s="132"/>
      <c r="C477" s="132"/>
      <c r="D477" s="132"/>
      <c r="E477" s="132"/>
      <c r="F477" s="132"/>
      <c r="G477" s="132"/>
      <c r="H477" s="132"/>
      <c r="I477" s="132"/>
      <c r="J477" s="132"/>
    </row>
    <row r="478" spans="1:10" ht="12.75">
      <c r="A478" s="131"/>
      <c r="B478" s="132"/>
      <c r="C478" s="132"/>
      <c r="D478" s="132"/>
      <c r="E478" s="132"/>
      <c r="F478" s="132"/>
      <c r="G478" s="132"/>
      <c r="H478" s="132"/>
      <c r="I478" s="132"/>
      <c r="J478" s="132"/>
    </row>
    <row r="479" spans="1:10" ht="12.75">
      <c r="A479" s="131"/>
      <c r="B479" s="132"/>
      <c r="C479" s="132"/>
      <c r="D479" s="132"/>
      <c r="E479" s="132"/>
      <c r="F479" s="132"/>
      <c r="G479" s="132"/>
      <c r="H479" s="132"/>
      <c r="I479" s="132"/>
      <c r="J479" s="132"/>
    </row>
    <row r="480" spans="1:10" ht="12.75">
      <c r="A480" s="131"/>
      <c r="B480" s="132"/>
      <c r="C480" s="132"/>
      <c r="D480" s="132"/>
      <c r="E480" s="132"/>
      <c r="F480" s="132"/>
      <c r="G480" s="132"/>
      <c r="H480" s="132"/>
      <c r="I480" s="132"/>
      <c r="J480" s="132"/>
    </row>
    <row r="481" spans="1:10" ht="12.75">
      <c r="A481" s="131"/>
      <c r="B481" s="132"/>
      <c r="C481" s="132"/>
      <c r="D481" s="132"/>
      <c r="E481" s="132"/>
      <c r="F481" s="132"/>
      <c r="G481" s="132"/>
      <c r="H481" s="132"/>
      <c r="I481" s="132"/>
      <c r="J481" s="132"/>
    </row>
    <row r="482" spans="1:10" ht="12.75">
      <c r="A482" s="131"/>
      <c r="B482" s="132"/>
      <c r="C482" s="132"/>
      <c r="D482" s="132"/>
      <c r="E482" s="132"/>
      <c r="F482" s="132"/>
      <c r="G482" s="132"/>
      <c r="H482" s="132"/>
      <c r="I482" s="132"/>
      <c r="J482" s="132"/>
    </row>
    <row r="483" spans="1:10" ht="12.75">
      <c r="A483" s="131"/>
      <c r="B483" s="132"/>
      <c r="C483" s="132"/>
      <c r="D483" s="132"/>
      <c r="E483" s="132"/>
      <c r="F483" s="132"/>
      <c r="G483" s="132"/>
      <c r="H483" s="132"/>
      <c r="I483" s="132"/>
      <c r="J483" s="132"/>
    </row>
    <row r="484" spans="1:10" ht="12.75">
      <c r="A484" s="131"/>
      <c r="B484" s="132"/>
      <c r="C484" s="132"/>
      <c r="D484" s="132"/>
      <c r="E484" s="132"/>
      <c r="F484" s="132"/>
      <c r="G484" s="132"/>
      <c r="H484" s="132"/>
      <c r="I484" s="132"/>
      <c r="J484" s="132"/>
    </row>
    <row r="485" spans="1:10" ht="12.75">
      <c r="A485" s="131"/>
      <c r="B485" s="132"/>
      <c r="C485" s="132"/>
      <c r="D485" s="132"/>
      <c r="E485" s="132"/>
      <c r="F485" s="132"/>
      <c r="G485" s="132"/>
      <c r="H485" s="132"/>
      <c r="I485" s="132"/>
      <c r="J485" s="132"/>
    </row>
    <row r="486" spans="1:10" ht="12.75">
      <c r="A486" s="131"/>
      <c r="B486" s="132"/>
      <c r="C486" s="132"/>
      <c r="D486" s="132"/>
      <c r="E486" s="132"/>
      <c r="F486" s="132"/>
      <c r="G486" s="132"/>
      <c r="H486" s="132"/>
      <c r="I486" s="132"/>
      <c r="J486" s="132"/>
    </row>
    <row r="487" spans="1:10" ht="12.75">
      <c r="A487" s="131"/>
      <c r="B487" s="132"/>
      <c r="C487" s="132"/>
      <c r="D487" s="132"/>
      <c r="E487" s="132"/>
      <c r="F487" s="132"/>
      <c r="G487" s="132"/>
      <c r="H487" s="132"/>
      <c r="I487" s="132"/>
      <c r="J487" s="132"/>
    </row>
    <row r="488" spans="1:10" ht="12.75">
      <c r="A488" s="131"/>
      <c r="B488" s="132"/>
      <c r="C488" s="132"/>
      <c r="D488" s="132"/>
      <c r="E488" s="132"/>
      <c r="F488" s="132"/>
      <c r="G488" s="132"/>
      <c r="H488" s="132"/>
      <c r="I488" s="132"/>
      <c r="J488" s="132"/>
    </row>
    <row r="489" spans="1:10" ht="12.75">
      <c r="A489" s="131"/>
      <c r="B489" s="132"/>
      <c r="C489" s="132"/>
      <c r="D489" s="132"/>
      <c r="E489" s="132"/>
      <c r="F489" s="132"/>
      <c r="G489" s="132"/>
      <c r="H489" s="132"/>
      <c r="I489" s="132"/>
      <c r="J489" s="132"/>
    </row>
    <row r="490" spans="1:10" ht="12.75">
      <c r="A490" s="131"/>
      <c r="B490" s="132"/>
      <c r="C490" s="132"/>
      <c r="D490" s="132"/>
      <c r="E490" s="132"/>
      <c r="F490" s="132"/>
      <c r="G490" s="132"/>
      <c r="H490" s="132"/>
      <c r="I490" s="132"/>
      <c r="J490" s="132"/>
    </row>
    <row r="491" spans="1:10" ht="12.75">
      <c r="A491" s="131"/>
      <c r="B491" s="132"/>
      <c r="C491" s="132"/>
      <c r="D491" s="132"/>
      <c r="E491" s="132"/>
      <c r="F491" s="132"/>
      <c r="G491" s="132"/>
      <c r="H491" s="132"/>
      <c r="I491" s="132"/>
      <c r="J491" s="132"/>
    </row>
    <row r="492" spans="1:10" ht="12.75">
      <c r="A492" s="131"/>
      <c r="B492" s="132"/>
      <c r="C492" s="132"/>
      <c r="D492" s="132"/>
      <c r="E492" s="132"/>
      <c r="F492" s="132"/>
      <c r="G492" s="132"/>
      <c r="H492" s="132"/>
      <c r="I492" s="132"/>
      <c r="J492" s="132"/>
    </row>
    <row r="493" spans="1:10" ht="12.75">
      <c r="A493" s="131"/>
      <c r="B493" s="132"/>
      <c r="C493" s="132"/>
      <c r="D493" s="132"/>
      <c r="E493" s="132"/>
      <c r="F493" s="132"/>
      <c r="G493" s="132"/>
      <c r="H493" s="132"/>
      <c r="I493" s="132"/>
      <c r="J493" s="132"/>
    </row>
    <row r="494" spans="1:10" ht="12.75">
      <c r="A494" s="131"/>
      <c r="B494" s="132"/>
      <c r="C494" s="132"/>
      <c r="D494" s="132"/>
      <c r="E494" s="132"/>
      <c r="F494" s="132"/>
      <c r="G494" s="132"/>
      <c r="H494" s="132"/>
      <c r="I494" s="132"/>
      <c r="J494" s="132"/>
    </row>
    <row r="495" spans="1:10" ht="12.75">
      <c r="A495" s="131"/>
      <c r="B495" s="132"/>
      <c r="C495" s="132"/>
      <c r="D495" s="132"/>
      <c r="E495" s="132"/>
      <c r="F495" s="132"/>
      <c r="G495" s="132"/>
      <c r="H495" s="132"/>
      <c r="I495" s="132"/>
      <c r="J495" s="132"/>
    </row>
    <row r="496" spans="1:10" ht="12.75">
      <c r="A496" s="131"/>
      <c r="B496" s="132"/>
      <c r="C496" s="132"/>
      <c r="D496" s="132"/>
      <c r="E496" s="132"/>
      <c r="F496" s="132"/>
      <c r="G496" s="132"/>
      <c r="H496" s="132"/>
      <c r="I496" s="132"/>
      <c r="J496" s="132"/>
    </row>
    <row r="497" spans="1:10" ht="12.75">
      <c r="A497" s="131"/>
      <c r="B497" s="132"/>
      <c r="C497" s="132"/>
      <c r="D497" s="132"/>
      <c r="E497" s="132"/>
      <c r="F497" s="132"/>
      <c r="G497" s="132"/>
      <c r="H497" s="132"/>
      <c r="I497" s="132"/>
      <c r="J497" s="132"/>
    </row>
    <row r="498" spans="1:10" ht="12.75">
      <c r="A498" s="131"/>
      <c r="B498" s="132"/>
      <c r="C498" s="132"/>
      <c r="D498" s="132"/>
      <c r="E498" s="132"/>
      <c r="F498" s="132"/>
      <c r="G498" s="132"/>
      <c r="H498" s="132"/>
      <c r="I498" s="132"/>
      <c r="J498" s="132"/>
    </row>
    <row r="499" spans="1:10" ht="12.75">
      <c r="A499" s="131"/>
      <c r="B499" s="132"/>
      <c r="C499" s="132"/>
      <c r="D499" s="132"/>
      <c r="E499" s="132"/>
      <c r="F499" s="132"/>
      <c r="G499" s="132"/>
      <c r="H499" s="132"/>
      <c r="I499" s="132"/>
      <c r="J499" s="132"/>
    </row>
    <row r="500" spans="1:10" ht="12.75">
      <c r="A500" s="131"/>
      <c r="B500" s="132"/>
      <c r="C500" s="132"/>
      <c r="D500" s="132"/>
      <c r="E500" s="132"/>
      <c r="F500" s="132"/>
      <c r="G500" s="132"/>
      <c r="H500" s="132"/>
      <c r="I500" s="132"/>
      <c r="J500" s="132"/>
    </row>
    <row r="501" spans="1:10" ht="12.75">
      <c r="A501" s="131"/>
      <c r="B501" s="132"/>
      <c r="C501" s="132"/>
      <c r="D501" s="132"/>
      <c r="E501" s="132"/>
      <c r="F501" s="132"/>
      <c r="G501" s="132"/>
      <c r="H501" s="132"/>
      <c r="I501" s="132"/>
      <c r="J501" s="132"/>
    </row>
    <row r="502" spans="1:10" ht="12.75">
      <c r="A502" s="131"/>
      <c r="B502" s="132"/>
      <c r="C502" s="132"/>
      <c r="D502" s="132"/>
      <c r="E502" s="132"/>
      <c r="F502" s="132"/>
      <c r="G502" s="132"/>
      <c r="H502" s="132"/>
      <c r="I502" s="132"/>
      <c r="J502" s="132"/>
    </row>
    <row r="503" spans="1:10" ht="12.75">
      <c r="A503" s="131"/>
      <c r="B503" s="132"/>
      <c r="C503" s="132"/>
      <c r="D503" s="132"/>
      <c r="E503" s="132"/>
      <c r="F503" s="132"/>
      <c r="G503" s="132"/>
      <c r="H503" s="132"/>
      <c r="I503" s="132"/>
      <c r="J503" s="132"/>
    </row>
    <row r="504" spans="1:10" ht="12.75">
      <c r="A504" s="131"/>
      <c r="B504" s="132"/>
      <c r="C504" s="132"/>
      <c r="D504" s="132"/>
      <c r="E504" s="132"/>
      <c r="F504" s="132"/>
      <c r="G504" s="132"/>
      <c r="H504" s="132"/>
      <c r="I504" s="132"/>
      <c r="J504" s="132"/>
    </row>
    <row r="505" spans="1:10" ht="12.75">
      <c r="A505" s="131"/>
      <c r="B505" s="132"/>
      <c r="C505" s="132"/>
      <c r="D505" s="132"/>
      <c r="E505" s="132"/>
      <c r="F505" s="132"/>
      <c r="G505" s="132"/>
      <c r="H505" s="132"/>
      <c r="I505" s="132"/>
      <c r="J505" s="132"/>
    </row>
    <row r="506" spans="1:10" ht="12.75">
      <c r="A506" s="131"/>
      <c r="B506" s="132"/>
      <c r="C506" s="132"/>
      <c r="D506" s="132"/>
      <c r="E506" s="132"/>
      <c r="F506" s="132"/>
      <c r="G506" s="132"/>
      <c r="H506" s="132"/>
      <c r="I506" s="132"/>
      <c r="J506" s="132"/>
    </row>
    <row r="507" spans="1:10" ht="12.75">
      <c r="A507" s="131"/>
      <c r="B507" s="132"/>
      <c r="C507" s="132"/>
      <c r="D507" s="132"/>
      <c r="E507" s="132"/>
      <c r="F507" s="132"/>
      <c r="G507" s="132"/>
      <c r="H507" s="132"/>
      <c r="I507" s="132"/>
      <c r="J507" s="132"/>
    </row>
    <row r="508" spans="1:10" ht="12.75">
      <c r="A508" s="131"/>
      <c r="B508" s="132"/>
      <c r="C508" s="132"/>
      <c r="D508" s="132"/>
      <c r="E508" s="132"/>
      <c r="F508" s="132"/>
      <c r="G508" s="132"/>
      <c r="H508" s="132"/>
      <c r="I508" s="132"/>
      <c r="J508" s="132"/>
    </row>
    <row r="509" spans="1:10" ht="12.75">
      <c r="A509" s="131"/>
      <c r="B509" s="132"/>
      <c r="C509" s="132"/>
      <c r="D509" s="132"/>
      <c r="E509" s="132"/>
      <c r="F509" s="132"/>
      <c r="G509" s="132"/>
      <c r="H509" s="132"/>
      <c r="I509" s="132"/>
      <c r="J509" s="132"/>
    </row>
    <row r="510" spans="1:10" ht="12.75">
      <c r="A510" s="131"/>
      <c r="B510" s="132"/>
      <c r="C510" s="132"/>
      <c r="D510" s="132"/>
      <c r="E510" s="132"/>
      <c r="F510" s="132"/>
      <c r="G510" s="132"/>
      <c r="H510" s="132"/>
      <c r="I510" s="132"/>
      <c r="J510" s="132"/>
    </row>
    <row r="511" spans="1:10" ht="12.75">
      <c r="A511" s="131"/>
      <c r="B511" s="132"/>
      <c r="C511" s="132"/>
      <c r="D511" s="132"/>
      <c r="E511" s="132"/>
      <c r="F511" s="132"/>
      <c r="G511" s="132"/>
      <c r="H511" s="132"/>
      <c r="I511" s="132"/>
      <c r="J511" s="132"/>
    </row>
    <row r="512" spans="1:10" ht="12.75">
      <c r="A512" s="131"/>
      <c r="B512" s="132"/>
      <c r="C512" s="132"/>
      <c r="D512" s="132"/>
      <c r="E512" s="132"/>
      <c r="F512" s="132"/>
      <c r="G512" s="132"/>
      <c r="H512" s="132"/>
      <c r="I512" s="132"/>
      <c r="J512" s="132"/>
    </row>
    <row r="513" spans="1:10" ht="12.75">
      <c r="A513" s="131"/>
      <c r="B513" s="132"/>
      <c r="C513" s="132"/>
      <c r="D513" s="132"/>
      <c r="E513" s="132"/>
      <c r="F513" s="132"/>
      <c r="G513" s="132"/>
      <c r="H513" s="132"/>
      <c r="I513" s="132"/>
      <c r="J513" s="132"/>
    </row>
    <row r="514" spans="1:10" ht="12.75">
      <c r="A514" s="131"/>
      <c r="B514" s="132"/>
      <c r="C514" s="132"/>
      <c r="D514" s="132"/>
      <c r="E514" s="132"/>
      <c r="F514" s="132"/>
      <c r="G514" s="132"/>
      <c r="H514" s="132"/>
      <c r="I514" s="132"/>
      <c r="J514" s="132"/>
    </row>
    <row r="515" spans="1:10" ht="12.75">
      <c r="A515" s="131"/>
      <c r="B515" s="132"/>
      <c r="C515" s="132"/>
      <c r="D515" s="132"/>
      <c r="E515" s="132"/>
      <c r="F515" s="132"/>
      <c r="G515" s="132"/>
      <c r="H515" s="132"/>
      <c r="I515" s="132"/>
      <c r="J515" s="132"/>
    </row>
    <row r="516" spans="1:10" ht="12.75">
      <c r="A516" s="131"/>
      <c r="B516" s="132"/>
      <c r="C516" s="132"/>
      <c r="D516" s="132"/>
      <c r="E516" s="132"/>
      <c r="F516" s="132"/>
      <c r="G516" s="132"/>
      <c r="H516" s="132"/>
      <c r="I516" s="132"/>
      <c r="J516" s="132"/>
    </row>
    <row r="517" spans="1:10" ht="12.75">
      <c r="A517" s="131"/>
      <c r="B517" s="132"/>
      <c r="C517" s="132"/>
      <c r="D517" s="132"/>
      <c r="E517" s="132"/>
      <c r="F517" s="132"/>
      <c r="G517" s="132"/>
      <c r="H517" s="132"/>
      <c r="I517" s="132"/>
      <c r="J517" s="132"/>
    </row>
    <row r="518" spans="1:10" ht="12.75">
      <c r="A518" s="131"/>
      <c r="B518" s="132"/>
      <c r="C518" s="132"/>
      <c r="D518" s="132"/>
      <c r="E518" s="132"/>
      <c r="F518" s="132"/>
      <c r="G518" s="132"/>
      <c r="H518" s="132"/>
      <c r="I518" s="132"/>
      <c r="J518" s="132"/>
    </row>
    <row r="519" spans="1:10" ht="12.75">
      <c r="A519" s="131"/>
      <c r="B519" s="132"/>
      <c r="C519" s="132"/>
      <c r="D519" s="132"/>
      <c r="E519" s="132"/>
      <c r="F519" s="132"/>
      <c r="G519" s="132"/>
      <c r="H519" s="132"/>
      <c r="I519" s="132"/>
      <c r="J519" s="132"/>
    </row>
    <row r="520" spans="1:10" ht="12.75">
      <c r="A520" s="131"/>
      <c r="B520" s="132"/>
      <c r="C520" s="132"/>
      <c r="D520" s="132"/>
      <c r="E520" s="132"/>
      <c r="F520" s="132"/>
      <c r="G520" s="132"/>
      <c r="H520" s="132"/>
      <c r="I520" s="132"/>
      <c r="J520" s="132"/>
    </row>
    <row r="521" spans="1:10" ht="12.75">
      <c r="A521" s="131"/>
      <c r="B521" s="132"/>
      <c r="C521" s="132"/>
      <c r="D521" s="132"/>
      <c r="E521" s="132"/>
      <c r="F521" s="132"/>
      <c r="G521" s="132"/>
      <c r="H521" s="132"/>
      <c r="I521" s="132"/>
      <c r="J521" s="132"/>
    </row>
    <row r="522" spans="1:10" ht="12.75">
      <c r="A522" s="131"/>
      <c r="B522" s="132"/>
      <c r="C522" s="132"/>
      <c r="D522" s="132"/>
      <c r="E522" s="132"/>
      <c r="F522" s="132"/>
      <c r="G522" s="132"/>
      <c r="H522" s="132"/>
      <c r="I522" s="132"/>
      <c r="J522" s="132"/>
    </row>
    <row r="523" spans="1:10" ht="12.75">
      <c r="A523" s="131"/>
      <c r="B523" s="132"/>
      <c r="C523" s="132"/>
      <c r="D523" s="132"/>
      <c r="E523" s="132"/>
      <c r="F523" s="132"/>
      <c r="G523" s="132"/>
      <c r="H523" s="132"/>
      <c r="I523" s="132"/>
      <c r="J523" s="132"/>
    </row>
    <row r="524" spans="1:10" ht="12.75">
      <c r="A524" s="131"/>
      <c r="B524" s="132"/>
      <c r="C524" s="132"/>
      <c r="D524" s="132"/>
      <c r="E524" s="132"/>
      <c r="F524" s="132"/>
      <c r="G524" s="132"/>
      <c r="H524" s="132"/>
      <c r="I524" s="132"/>
      <c r="J524" s="132"/>
    </row>
    <row r="525" spans="1:10" ht="12.75">
      <c r="A525" s="131"/>
      <c r="B525" s="132"/>
      <c r="C525" s="132"/>
      <c r="D525" s="132"/>
      <c r="E525" s="132"/>
      <c r="F525" s="132"/>
      <c r="G525" s="132"/>
      <c r="H525" s="132"/>
      <c r="I525" s="132"/>
      <c r="J525" s="132"/>
    </row>
    <row r="526" spans="1:10" ht="12.75">
      <c r="A526" s="131"/>
      <c r="B526" s="132"/>
      <c r="C526" s="132"/>
      <c r="D526" s="132"/>
      <c r="E526" s="132"/>
      <c r="F526" s="132"/>
      <c r="G526" s="132"/>
      <c r="H526" s="132"/>
      <c r="I526" s="132"/>
      <c r="J526" s="132"/>
    </row>
    <row r="527" spans="1:10" ht="12.75">
      <c r="A527" s="131"/>
      <c r="B527" s="132"/>
      <c r="C527" s="132"/>
      <c r="D527" s="132"/>
      <c r="E527" s="132"/>
      <c r="F527" s="132"/>
      <c r="G527" s="132"/>
      <c r="H527" s="132"/>
      <c r="I527" s="132"/>
      <c r="J527" s="132"/>
    </row>
    <row r="528" spans="1:10" ht="12.75">
      <c r="A528" s="131"/>
      <c r="B528" s="132"/>
      <c r="C528" s="132"/>
      <c r="D528" s="132"/>
      <c r="E528" s="132"/>
      <c r="F528" s="132"/>
      <c r="G528" s="132"/>
      <c r="H528" s="132"/>
      <c r="I528" s="132"/>
      <c r="J528" s="132"/>
    </row>
    <row r="529" spans="1:10" ht="12.75">
      <c r="A529" s="131"/>
      <c r="B529" s="132"/>
      <c r="C529" s="132"/>
      <c r="D529" s="132"/>
      <c r="E529" s="132"/>
      <c r="F529" s="132"/>
      <c r="G529" s="132"/>
      <c r="H529" s="132"/>
      <c r="I529" s="132"/>
      <c r="J529" s="132"/>
    </row>
    <row r="530" spans="1:10" ht="12.75">
      <c r="A530" s="131"/>
      <c r="B530" s="132"/>
      <c r="C530" s="132"/>
      <c r="D530" s="132"/>
      <c r="E530" s="132"/>
      <c r="F530" s="132"/>
      <c r="G530" s="132"/>
      <c r="H530" s="132"/>
      <c r="I530" s="132"/>
      <c r="J530" s="132"/>
    </row>
    <row r="531" spans="1:10" ht="12.75">
      <c r="A531" s="131"/>
      <c r="B531" s="132"/>
      <c r="C531" s="132"/>
      <c r="D531" s="132"/>
      <c r="E531" s="132"/>
      <c r="F531" s="132"/>
      <c r="G531" s="132"/>
      <c r="H531" s="132"/>
      <c r="I531" s="132"/>
      <c r="J531" s="132"/>
    </row>
    <row r="532" spans="1:10" ht="12.75">
      <c r="A532" s="131"/>
      <c r="B532" s="132"/>
      <c r="C532" s="132"/>
      <c r="D532" s="132"/>
      <c r="E532" s="132"/>
      <c r="F532" s="132"/>
      <c r="G532" s="132"/>
      <c r="H532" s="132"/>
      <c r="I532" s="132"/>
      <c r="J532" s="132"/>
    </row>
    <row r="533" spans="1:10" ht="12.75">
      <c r="A533" s="131"/>
      <c r="B533" s="132"/>
      <c r="C533" s="132"/>
      <c r="D533" s="132"/>
      <c r="E533" s="132"/>
      <c r="F533" s="132"/>
      <c r="G533" s="132"/>
      <c r="H533" s="132"/>
      <c r="I533" s="132"/>
      <c r="J533" s="132"/>
    </row>
    <row r="534" spans="1:10" ht="12.75">
      <c r="A534" s="131"/>
      <c r="B534" s="132"/>
      <c r="C534" s="132"/>
      <c r="D534" s="132"/>
      <c r="E534" s="132"/>
      <c r="F534" s="132"/>
      <c r="G534" s="132"/>
      <c r="H534" s="132"/>
      <c r="I534" s="132"/>
      <c r="J534" s="132"/>
    </row>
    <row r="535" spans="1:10" ht="12.75">
      <c r="A535" s="131"/>
      <c r="B535" s="132"/>
      <c r="C535" s="132"/>
      <c r="D535" s="132"/>
      <c r="E535" s="132"/>
      <c r="F535" s="132"/>
      <c r="G535" s="132"/>
      <c r="H535" s="132"/>
      <c r="I535" s="132"/>
      <c r="J535" s="132"/>
    </row>
    <row r="536" spans="1:10" ht="12.75">
      <c r="A536" s="131"/>
      <c r="B536" s="132"/>
      <c r="C536" s="132"/>
      <c r="D536" s="132"/>
      <c r="E536" s="132"/>
      <c r="F536" s="132"/>
      <c r="G536" s="132"/>
      <c r="H536" s="132"/>
      <c r="I536" s="132"/>
      <c r="J536" s="132"/>
    </row>
    <row r="537" spans="1:10" ht="12.75">
      <c r="A537" s="131"/>
      <c r="B537" s="132"/>
      <c r="C537" s="132"/>
      <c r="D537" s="132"/>
      <c r="E537" s="132"/>
      <c r="F537" s="132"/>
      <c r="G537" s="132"/>
      <c r="H537" s="132"/>
      <c r="I537" s="132"/>
      <c r="J537" s="132"/>
    </row>
    <row r="538" spans="1:10" ht="12.75">
      <c r="A538" s="131"/>
      <c r="B538" s="132"/>
      <c r="C538" s="132"/>
      <c r="D538" s="132"/>
      <c r="E538" s="132"/>
      <c r="F538" s="132"/>
      <c r="G538" s="132"/>
      <c r="H538" s="132"/>
      <c r="I538" s="132"/>
      <c r="J538" s="132"/>
    </row>
    <row r="539" spans="1:10" ht="12.75">
      <c r="A539" s="131"/>
      <c r="B539" s="132"/>
      <c r="C539" s="132"/>
      <c r="D539" s="132"/>
      <c r="E539" s="132"/>
      <c r="F539" s="132"/>
      <c r="G539" s="132"/>
      <c r="H539" s="132"/>
      <c r="I539" s="132"/>
      <c r="J539" s="132"/>
    </row>
    <row r="540" spans="1:10" ht="12.75">
      <c r="A540" s="131"/>
      <c r="B540" s="132"/>
      <c r="C540" s="132"/>
      <c r="D540" s="132"/>
      <c r="E540" s="132"/>
      <c r="F540" s="132"/>
      <c r="G540" s="132"/>
      <c r="H540" s="132"/>
      <c r="I540" s="132"/>
      <c r="J540" s="132"/>
    </row>
    <row r="541" spans="1:10" ht="12.75">
      <c r="A541" s="131"/>
      <c r="B541" s="132"/>
      <c r="C541" s="132"/>
      <c r="D541" s="132"/>
      <c r="E541" s="132"/>
      <c r="F541" s="132"/>
      <c r="G541" s="132"/>
      <c r="H541" s="132"/>
      <c r="I541" s="132"/>
      <c r="J541" s="132"/>
    </row>
    <row r="542" spans="1:10" ht="12.75">
      <c r="A542" s="131"/>
      <c r="B542" s="132"/>
      <c r="C542" s="132"/>
      <c r="D542" s="132"/>
      <c r="E542" s="132"/>
      <c r="F542" s="132"/>
      <c r="G542" s="132"/>
      <c r="H542" s="132"/>
      <c r="I542" s="132"/>
      <c r="J542" s="132"/>
    </row>
    <row r="543" spans="1:10" ht="12.75">
      <c r="A543" s="131"/>
      <c r="B543" s="132"/>
      <c r="C543" s="132"/>
      <c r="D543" s="132"/>
      <c r="E543" s="132"/>
      <c r="F543" s="132"/>
      <c r="G543" s="132"/>
      <c r="H543" s="132"/>
      <c r="I543" s="132"/>
      <c r="J543" s="132"/>
    </row>
    <row r="544" spans="1:10" ht="12.75">
      <c r="A544" s="131"/>
      <c r="B544" s="132"/>
      <c r="C544" s="132"/>
      <c r="D544" s="132"/>
      <c r="E544" s="132"/>
      <c r="F544" s="132"/>
      <c r="G544" s="132"/>
      <c r="H544" s="132"/>
      <c r="I544" s="132"/>
      <c r="J544" s="132"/>
    </row>
    <row r="545" spans="1:10" ht="12.75">
      <c r="A545" s="131"/>
      <c r="B545" s="132"/>
      <c r="C545" s="132"/>
      <c r="D545" s="132"/>
      <c r="E545" s="132"/>
      <c r="F545" s="132"/>
      <c r="G545" s="132"/>
      <c r="H545" s="132"/>
      <c r="I545" s="132"/>
      <c r="J545" s="132"/>
    </row>
    <row r="546" spans="1:10" ht="12.75">
      <c r="A546" s="131"/>
      <c r="B546" s="132"/>
      <c r="C546" s="132"/>
      <c r="D546" s="132"/>
      <c r="E546" s="132"/>
      <c r="F546" s="132"/>
      <c r="G546" s="132"/>
      <c r="H546" s="132"/>
      <c r="I546" s="132"/>
      <c r="J546" s="132"/>
    </row>
    <row r="547" spans="1:10" ht="12.75">
      <c r="A547" s="131"/>
      <c r="B547" s="132"/>
      <c r="C547" s="132"/>
      <c r="D547" s="132"/>
      <c r="E547" s="132"/>
      <c r="F547" s="132"/>
      <c r="G547" s="132"/>
      <c r="H547" s="132"/>
      <c r="I547" s="132"/>
      <c r="J547" s="132"/>
    </row>
    <row r="548" spans="1:10" ht="12.75">
      <c r="A548" s="131"/>
      <c r="B548" s="132"/>
      <c r="C548" s="132"/>
      <c r="D548" s="132"/>
      <c r="E548" s="132"/>
      <c r="F548" s="132"/>
      <c r="G548" s="132"/>
      <c r="H548" s="132"/>
      <c r="I548" s="132"/>
      <c r="J548" s="132"/>
    </row>
    <row r="549" spans="1:10" ht="12.75">
      <c r="A549" s="131"/>
      <c r="B549" s="132"/>
      <c r="C549" s="132"/>
      <c r="D549" s="132"/>
      <c r="E549" s="132"/>
      <c r="F549" s="132"/>
      <c r="G549" s="132"/>
      <c r="H549" s="132"/>
      <c r="I549" s="132"/>
      <c r="J549" s="132"/>
    </row>
    <row r="550" spans="1:10" ht="12.75">
      <c r="A550" s="131"/>
      <c r="B550" s="132"/>
      <c r="C550" s="132"/>
      <c r="D550" s="132"/>
      <c r="E550" s="132"/>
      <c r="F550" s="132"/>
      <c r="G550" s="132"/>
      <c r="H550" s="132"/>
      <c r="I550" s="132"/>
      <c r="J550" s="132"/>
    </row>
    <row r="551" spans="1:10" ht="12.75">
      <c r="A551" s="131"/>
      <c r="B551" s="132"/>
      <c r="C551" s="132"/>
      <c r="D551" s="132"/>
      <c r="E551" s="132"/>
      <c r="F551" s="132"/>
      <c r="G551" s="132"/>
      <c r="H551" s="132"/>
      <c r="I551" s="132"/>
      <c r="J551" s="132"/>
    </row>
    <row r="552" spans="1:10" ht="12.75">
      <c r="A552" s="131"/>
      <c r="B552" s="132"/>
      <c r="C552" s="132"/>
      <c r="D552" s="132"/>
      <c r="E552" s="132"/>
      <c r="F552" s="132"/>
      <c r="G552" s="132"/>
      <c r="H552" s="132"/>
      <c r="I552" s="132"/>
      <c r="J552" s="132"/>
    </row>
    <row r="553" spans="1:10" ht="12.75">
      <c r="A553" s="131"/>
      <c r="B553" s="132"/>
      <c r="C553" s="132"/>
      <c r="D553" s="132"/>
      <c r="E553" s="132"/>
      <c r="F553" s="132"/>
      <c r="G553" s="132"/>
      <c r="H553" s="132"/>
      <c r="I553" s="132"/>
      <c r="J553" s="132"/>
    </row>
    <row r="554" spans="1:10" ht="12.75">
      <c r="A554" s="131"/>
      <c r="B554" s="132"/>
      <c r="C554" s="132"/>
      <c r="D554" s="132"/>
      <c r="E554" s="132"/>
      <c r="F554" s="132"/>
      <c r="G554" s="132"/>
      <c r="H554" s="132"/>
      <c r="I554" s="132"/>
      <c r="J554" s="132"/>
    </row>
    <row r="555" spans="1:10" ht="12.75">
      <c r="A555" s="131"/>
      <c r="B555" s="132"/>
      <c r="C555" s="132"/>
      <c r="D555" s="132"/>
      <c r="E555" s="132"/>
      <c r="F555" s="132"/>
      <c r="G555" s="132"/>
      <c r="H555" s="132"/>
      <c r="I555" s="132"/>
      <c r="J555" s="132"/>
    </row>
    <row r="556" spans="1:10" ht="12.75">
      <c r="A556" s="131"/>
      <c r="B556" s="132"/>
      <c r="C556" s="132"/>
      <c r="D556" s="132"/>
      <c r="E556" s="132"/>
      <c r="F556" s="132"/>
      <c r="G556" s="132"/>
      <c r="H556" s="132"/>
      <c r="I556" s="132"/>
      <c r="J556" s="132"/>
    </row>
    <row r="557" spans="1:10" ht="12.75">
      <c r="A557" s="131"/>
      <c r="B557" s="132"/>
      <c r="C557" s="132"/>
      <c r="D557" s="132"/>
      <c r="E557" s="132"/>
      <c r="F557" s="132"/>
      <c r="G557" s="132"/>
      <c r="H557" s="132"/>
      <c r="I557" s="132"/>
      <c r="J557" s="132"/>
    </row>
    <row r="558" spans="1:10" ht="12.75">
      <c r="A558" s="131"/>
      <c r="B558" s="132"/>
      <c r="C558" s="132"/>
      <c r="D558" s="132"/>
      <c r="E558" s="132"/>
      <c r="F558" s="132"/>
      <c r="G558" s="132"/>
      <c r="H558" s="132"/>
      <c r="I558" s="132"/>
      <c r="J558" s="132"/>
    </row>
    <row r="559" spans="1:10" ht="12.75">
      <c r="A559" s="131"/>
      <c r="B559" s="132"/>
      <c r="C559" s="132"/>
      <c r="D559" s="132"/>
      <c r="E559" s="132"/>
      <c r="F559" s="132"/>
      <c r="G559" s="132"/>
      <c r="H559" s="132"/>
      <c r="I559" s="132"/>
      <c r="J559" s="132"/>
    </row>
    <row r="560" spans="1:10" ht="12.75">
      <c r="A560" s="131"/>
      <c r="B560" s="132"/>
      <c r="C560" s="132"/>
      <c r="D560" s="132"/>
      <c r="E560" s="132"/>
      <c r="F560" s="132"/>
      <c r="G560" s="132"/>
      <c r="H560" s="132"/>
      <c r="I560" s="132"/>
      <c r="J560" s="132"/>
    </row>
    <row r="561" spans="1:10" ht="12.75">
      <c r="A561" s="131"/>
      <c r="B561" s="132"/>
      <c r="C561" s="132"/>
      <c r="D561" s="132"/>
      <c r="E561" s="132"/>
      <c r="F561" s="132"/>
      <c r="G561" s="132"/>
      <c r="H561" s="132"/>
      <c r="I561" s="132"/>
      <c r="J561" s="132"/>
    </row>
    <row r="562" spans="1:10" ht="12.75">
      <c r="A562" s="131"/>
      <c r="B562" s="132"/>
      <c r="C562" s="132"/>
      <c r="D562" s="132"/>
      <c r="E562" s="132"/>
      <c r="F562" s="132"/>
      <c r="G562" s="132"/>
      <c r="H562" s="132"/>
      <c r="I562" s="132"/>
      <c r="J562" s="132"/>
    </row>
    <row r="563" spans="1:10" ht="12.75">
      <c r="A563" s="131"/>
      <c r="B563" s="132"/>
      <c r="C563" s="132"/>
      <c r="D563" s="132"/>
      <c r="E563" s="132"/>
      <c r="F563" s="132"/>
      <c r="G563" s="132"/>
      <c r="H563" s="132"/>
      <c r="I563" s="132"/>
      <c r="J563" s="132"/>
    </row>
    <row r="564" spans="1:10" ht="12.75">
      <c r="A564" s="131"/>
      <c r="B564" s="132"/>
      <c r="C564" s="132"/>
      <c r="D564" s="132"/>
      <c r="E564" s="132"/>
      <c r="F564" s="132"/>
      <c r="G564" s="132"/>
      <c r="H564" s="132"/>
      <c r="I564" s="132"/>
      <c r="J564" s="132"/>
    </row>
    <row r="565" spans="1:10" ht="12.75">
      <c r="A565" s="131"/>
      <c r="B565" s="132"/>
      <c r="C565" s="132"/>
      <c r="D565" s="132"/>
      <c r="E565" s="132"/>
      <c r="F565" s="132"/>
      <c r="G565" s="132"/>
      <c r="H565" s="132"/>
      <c r="I565" s="132"/>
      <c r="J565" s="132"/>
    </row>
    <row r="566" spans="1:10" ht="12.75">
      <c r="A566" s="131"/>
      <c r="B566" s="132"/>
      <c r="C566" s="132"/>
      <c r="D566" s="132"/>
      <c r="E566" s="132"/>
      <c r="F566" s="132"/>
      <c r="G566" s="132"/>
      <c r="H566" s="132"/>
      <c r="I566" s="132"/>
      <c r="J566" s="132"/>
    </row>
    <row r="567" spans="1:10" ht="12.75">
      <c r="A567" s="131"/>
      <c r="B567" s="132"/>
      <c r="C567" s="132"/>
      <c r="D567" s="132"/>
      <c r="E567" s="132"/>
      <c r="F567" s="132"/>
      <c r="G567" s="132"/>
      <c r="H567" s="132"/>
      <c r="I567" s="132"/>
      <c r="J567" s="132"/>
    </row>
    <row r="568" spans="1:10" ht="12.75">
      <c r="A568" s="131"/>
      <c r="B568" s="132"/>
      <c r="C568" s="132"/>
      <c r="D568" s="132"/>
      <c r="E568" s="132"/>
      <c r="F568" s="132"/>
      <c r="G568" s="132"/>
      <c r="H568" s="132"/>
      <c r="I568" s="132"/>
      <c r="J568" s="132"/>
    </row>
    <row r="569" spans="1:10" ht="12.75">
      <c r="A569" s="131"/>
      <c r="B569" s="132"/>
      <c r="C569" s="132"/>
      <c r="D569" s="132"/>
      <c r="E569" s="132"/>
      <c r="F569" s="132"/>
      <c r="G569" s="132"/>
      <c r="H569" s="132"/>
      <c r="I569" s="132"/>
      <c r="J569" s="132"/>
    </row>
    <row r="570" spans="1:10" ht="12.75">
      <c r="A570" s="131"/>
      <c r="B570" s="132"/>
      <c r="C570" s="132"/>
      <c r="D570" s="132"/>
      <c r="E570" s="132"/>
      <c r="F570" s="132"/>
      <c r="G570" s="132"/>
      <c r="H570" s="132"/>
      <c r="I570" s="132"/>
      <c r="J570" s="132"/>
    </row>
    <row r="571" spans="1:10" ht="12.75">
      <c r="A571" s="131"/>
      <c r="B571" s="132"/>
      <c r="C571" s="132"/>
      <c r="D571" s="132"/>
      <c r="E571" s="132"/>
      <c r="F571" s="132"/>
      <c r="G571" s="132"/>
      <c r="H571" s="132"/>
      <c r="I571" s="132"/>
      <c r="J571" s="132"/>
    </row>
    <row r="572" spans="1:10" ht="12.75">
      <c r="A572" s="131"/>
      <c r="B572" s="132"/>
      <c r="C572" s="132"/>
      <c r="D572" s="132"/>
      <c r="E572" s="132"/>
      <c r="F572" s="132"/>
      <c r="G572" s="132"/>
      <c r="H572" s="132"/>
      <c r="I572" s="132"/>
      <c r="J572" s="132"/>
    </row>
    <row r="573" spans="1:10" ht="12.75">
      <c r="A573" s="131"/>
      <c r="B573" s="132"/>
      <c r="C573" s="132"/>
      <c r="D573" s="132"/>
      <c r="E573" s="132"/>
      <c r="F573" s="132"/>
      <c r="G573" s="132"/>
      <c r="H573" s="132"/>
      <c r="I573" s="132"/>
      <c r="J573" s="132"/>
    </row>
    <row r="574" spans="1:10" ht="12.75">
      <c r="A574" s="131"/>
      <c r="B574" s="132"/>
      <c r="C574" s="132"/>
      <c r="D574" s="132"/>
      <c r="E574" s="132"/>
      <c r="F574" s="132"/>
      <c r="G574" s="132"/>
      <c r="H574" s="132"/>
      <c r="I574" s="132"/>
      <c r="J574" s="132"/>
    </row>
    <row r="575" spans="1:10" ht="12.75">
      <c r="A575" s="131"/>
      <c r="B575" s="132"/>
      <c r="C575" s="132"/>
      <c r="D575" s="132"/>
      <c r="E575" s="132"/>
      <c r="F575" s="132"/>
      <c r="G575" s="132"/>
      <c r="H575" s="132"/>
      <c r="I575" s="132"/>
      <c r="J575" s="132"/>
    </row>
    <row r="576" spans="1:10" ht="12.75">
      <c r="A576" s="131"/>
      <c r="B576" s="132"/>
      <c r="C576" s="132"/>
      <c r="D576" s="132"/>
      <c r="E576" s="132"/>
      <c r="F576" s="132"/>
      <c r="G576" s="132"/>
      <c r="H576" s="132"/>
      <c r="I576" s="132"/>
      <c r="J576" s="132"/>
    </row>
    <row r="577" spans="1:10" ht="12.75">
      <c r="A577" s="131"/>
      <c r="B577" s="132"/>
      <c r="C577" s="132"/>
      <c r="D577" s="132"/>
      <c r="E577" s="132"/>
      <c r="F577" s="132"/>
      <c r="G577" s="132"/>
      <c r="H577" s="132"/>
      <c r="I577" s="132"/>
      <c r="J577" s="132"/>
    </row>
    <row r="578" spans="1:10" ht="12.75">
      <c r="A578" s="131"/>
      <c r="B578" s="132"/>
      <c r="C578" s="132"/>
      <c r="D578" s="132"/>
      <c r="E578" s="132"/>
      <c r="F578" s="132"/>
      <c r="G578" s="132"/>
      <c r="H578" s="132"/>
      <c r="I578" s="132"/>
      <c r="J578" s="132"/>
    </row>
    <row r="579" spans="1:10" ht="12.75">
      <c r="A579" s="131"/>
      <c r="B579" s="132"/>
      <c r="C579" s="132"/>
      <c r="D579" s="132"/>
      <c r="E579" s="132"/>
      <c r="F579" s="132"/>
      <c r="G579" s="132"/>
      <c r="H579" s="132"/>
      <c r="I579" s="132"/>
      <c r="J579" s="132"/>
    </row>
    <row r="580" spans="1:10" ht="12.75">
      <c r="A580" s="131"/>
      <c r="B580" s="132"/>
      <c r="C580" s="132"/>
      <c r="D580" s="132"/>
      <c r="E580" s="132"/>
      <c r="F580" s="132"/>
      <c r="G580" s="132"/>
      <c r="H580" s="132"/>
      <c r="I580" s="132"/>
      <c r="J580" s="132"/>
    </row>
    <row r="581" spans="1:10" ht="12.75">
      <c r="A581" s="131"/>
      <c r="B581" s="132"/>
      <c r="C581" s="132"/>
      <c r="D581" s="132"/>
      <c r="E581" s="132"/>
      <c r="F581" s="132"/>
      <c r="G581" s="132"/>
      <c r="H581" s="132"/>
      <c r="I581" s="132"/>
      <c r="J581" s="132"/>
    </row>
    <row r="582" spans="1:10" ht="12.75">
      <c r="A582" s="131"/>
      <c r="B582" s="132"/>
      <c r="C582" s="132"/>
      <c r="D582" s="132"/>
      <c r="E582" s="132"/>
      <c r="F582" s="132"/>
      <c r="G582" s="132"/>
      <c r="H582" s="132"/>
      <c r="I582" s="132"/>
      <c r="J582" s="132"/>
    </row>
    <row r="583" spans="1:10" ht="12.75">
      <c r="A583" s="131"/>
      <c r="B583" s="132"/>
      <c r="C583" s="132"/>
      <c r="D583" s="132"/>
      <c r="E583" s="132"/>
      <c r="F583" s="132"/>
      <c r="G583" s="132"/>
      <c r="H583" s="132"/>
      <c r="I583" s="132"/>
      <c r="J583" s="132"/>
    </row>
    <row r="584" spans="1:10" ht="12.75">
      <c r="A584" s="131"/>
      <c r="B584" s="132"/>
      <c r="C584" s="132"/>
      <c r="D584" s="132"/>
      <c r="E584" s="132"/>
      <c r="F584" s="132"/>
      <c r="G584" s="132"/>
      <c r="H584" s="132"/>
      <c r="I584" s="132"/>
      <c r="J584" s="132"/>
    </row>
    <row r="585" spans="1:10" ht="12.75">
      <c r="A585" s="131"/>
      <c r="B585" s="132"/>
      <c r="C585" s="132"/>
      <c r="D585" s="132"/>
      <c r="E585" s="132"/>
      <c r="F585" s="132"/>
      <c r="G585" s="132"/>
      <c r="H585" s="132"/>
      <c r="I585" s="132"/>
      <c r="J585" s="132"/>
    </row>
    <row r="586" spans="1:10" ht="12.75">
      <c r="A586" s="131"/>
      <c r="B586" s="132"/>
      <c r="C586" s="132"/>
      <c r="D586" s="132"/>
      <c r="E586" s="132"/>
      <c r="F586" s="132"/>
      <c r="G586" s="132"/>
      <c r="H586" s="132"/>
      <c r="I586" s="132"/>
      <c r="J586" s="132"/>
    </row>
    <row r="587" spans="1:10" ht="12.75">
      <c r="A587" s="131"/>
      <c r="B587" s="132"/>
      <c r="C587" s="132"/>
      <c r="D587" s="132"/>
      <c r="E587" s="132"/>
      <c r="F587" s="132"/>
      <c r="G587" s="132"/>
      <c r="H587" s="132"/>
      <c r="I587" s="132"/>
      <c r="J587" s="132"/>
    </row>
    <row r="588" spans="1:10" ht="12.75">
      <c r="A588" s="131"/>
      <c r="B588" s="132"/>
      <c r="C588" s="132"/>
      <c r="D588" s="132"/>
      <c r="E588" s="132"/>
      <c r="F588" s="132"/>
      <c r="G588" s="132"/>
      <c r="H588" s="132"/>
      <c r="I588" s="132"/>
      <c r="J588" s="132"/>
    </row>
    <row r="589" spans="1:10" ht="12.75">
      <c r="A589" s="131"/>
      <c r="B589" s="132"/>
      <c r="C589" s="132"/>
      <c r="D589" s="132"/>
      <c r="E589" s="132"/>
      <c r="F589" s="132"/>
      <c r="G589" s="132"/>
      <c r="H589" s="132"/>
      <c r="I589" s="132"/>
      <c r="J589" s="132"/>
    </row>
    <row r="590" spans="1:10" ht="12.75">
      <c r="A590" s="131"/>
      <c r="B590" s="132"/>
      <c r="C590" s="132"/>
      <c r="D590" s="132"/>
      <c r="E590" s="132"/>
      <c r="F590" s="132"/>
      <c r="G590" s="132"/>
      <c r="H590" s="132"/>
      <c r="I590" s="132"/>
      <c r="J590" s="132"/>
    </row>
    <row r="591" spans="1:10" ht="12.75">
      <c r="A591" s="131"/>
      <c r="B591" s="132"/>
      <c r="C591" s="132"/>
      <c r="D591" s="132"/>
      <c r="E591" s="132"/>
      <c r="F591" s="132"/>
      <c r="G591" s="132"/>
      <c r="H591" s="132"/>
      <c r="I591" s="132"/>
      <c r="J591" s="132"/>
    </row>
    <row r="592" spans="1:10" ht="12.75">
      <c r="A592" s="131"/>
      <c r="B592" s="132"/>
      <c r="C592" s="132"/>
      <c r="D592" s="132"/>
      <c r="E592" s="132"/>
      <c r="F592" s="132"/>
      <c r="G592" s="132"/>
      <c r="H592" s="132"/>
      <c r="I592" s="132"/>
      <c r="J592" s="132"/>
    </row>
    <row r="593" spans="1:10" ht="12.75">
      <c r="A593" s="131"/>
      <c r="B593" s="132"/>
      <c r="C593" s="132"/>
      <c r="D593" s="132"/>
      <c r="E593" s="132"/>
      <c r="F593" s="132"/>
      <c r="G593" s="132"/>
      <c r="H593" s="132"/>
      <c r="I593" s="132"/>
      <c r="J593" s="132"/>
    </row>
    <row r="594" spans="1:10" ht="12.75">
      <c r="A594" s="131"/>
      <c r="B594" s="132"/>
      <c r="C594" s="132"/>
      <c r="D594" s="132"/>
      <c r="E594" s="132"/>
      <c r="F594" s="132"/>
      <c r="G594" s="132"/>
      <c r="H594" s="132"/>
      <c r="I594" s="132"/>
      <c r="J594" s="132"/>
    </row>
    <row r="595" spans="1:10" ht="12.75">
      <c r="A595" s="131"/>
      <c r="B595" s="132"/>
      <c r="C595" s="132"/>
      <c r="D595" s="132"/>
      <c r="E595" s="132"/>
      <c r="F595" s="132"/>
      <c r="G595" s="132"/>
      <c r="H595" s="132"/>
      <c r="I595" s="132"/>
      <c r="J595" s="132"/>
    </row>
    <row r="596" spans="1:10" ht="12.75">
      <c r="A596" s="131"/>
      <c r="B596" s="132"/>
      <c r="C596" s="132"/>
      <c r="D596" s="132"/>
      <c r="E596" s="132"/>
      <c r="F596" s="132"/>
      <c r="G596" s="132"/>
      <c r="H596" s="132"/>
      <c r="I596" s="132"/>
      <c r="J596" s="132"/>
    </row>
    <row r="597" spans="1:10" ht="12.75">
      <c r="A597" s="131"/>
      <c r="B597" s="132"/>
      <c r="C597" s="132"/>
      <c r="D597" s="132"/>
      <c r="E597" s="132"/>
      <c r="F597" s="132"/>
      <c r="G597" s="132"/>
      <c r="H597" s="132"/>
      <c r="I597" s="132"/>
      <c r="J597" s="132"/>
    </row>
    <row r="598" spans="1:10" ht="12.75">
      <c r="A598" s="131"/>
      <c r="B598" s="132"/>
      <c r="C598" s="132"/>
      <c r="D598" s="132"/>
      <c r="E598" s="132"/>
      <c r="F598" s="132"/>
      <c r="G598" s="132"/>
      <c r="H598" s="132"/>
      <c r="I598" s="132"/>
      <c r="J598" s="132"/>
    </row>
    <row r="599" spans="1:10" ht="12.75">
      <c r="A599" s="131"/>
      <c r="B599" s="132"/>
      <c r="C599" s="132"/>
      <c r="D599" s="132"/>
      <c r="E599" s="132"/>
      <c r="F599" s="132"/>
      <c r="G599" s="132"/>
      <c r="H599" s="132"/>
      <c r="I599" s="132"/>
      <c r="J599" s="132"/>
    </row>
    <row r="600" spans="1:10" ht="12.75">
      <c r="A600" s="131"/>
      <c r="B600" s="132"/>
      <c r="C600" s="132"/>
      <c r="D600" s="132"/>
      <c r="E600" s="132"/>
      <c r="F600" s="132"/>
      <c r="G600" s="132"/>
      <c r="H600" s="132"/>
      <c r="I600" s="132"/>
      <c r="J600" s="132"/>
    </row>
    <row r="601" spans="1:10" ht="12.75">
      <c r="A601" s="131"/>
      <c r="B601" s="132"/>
      <c r="C601" s="132"/>
      <c r="D601" s="132"/>
      <c r="E601" s="132"/>
      <c r="F601" s="132"/>
      <c r="G601" s="132"/>
      <c r="H601" s="132"/>
      <c r="I601" s="132"/>
      <c r="J601" s="132"/>
    </row>
    <row r="602" spans="1:10" ht="12.75">
      <c r="A602" s="131"/>
      <c r="B602" s="132"/>
      <c r="C602" s="132"/>
      <c r="D602" s="132"/>
      <c r="E602" s="132"/>
      <c r="F602" s="132"/>
      <c r="G602" s="132"/>
      <c r="H602" s="132"/>
      <c r="I602" s="132"/>
      <c r="J602" s="132"/>
    </row>
    <row r="603" spans="1:10" ht="12.75">
      <c r="A603" s="131"/>
      <c r="B603" s="132"/>
      <c r="C603" s="132"/>
      <c r="D603" s="132"/>
      <c r="E603" s="132"/>
      <c r="F603" s="132"/>
      <c r="G603" s="132"/>
      <c r="H603" s="132"/>
      <c r="I603" s="132"/>
      <c r="J603" s="132"/>
    </row>
    <row r="604" spans="1:10" ht="12.75">
      <c r="A604" s="131"/>
      <c r="B604" s="132"/>
      <c r="C604" s="132"/>
      <c r="D604" s="132"/>
      <c r="E604" s="132"/>
      <c r="F604" s="132"/>
      <c r="G604" s="132"/>
      <c r="H604" s="132"/>
      <c r="I604" s="132"/>
      <c r="J604" s="132"/>
    </row>
    <row r="605" spans="1:10" ht="12.75">
      <c r="A605" s="131"/>
      <c r="B605" s="132"/>
      <c r="C605" s="132"/>
      <c r="D605" s="132"/>
      <c r="E605" s="132"/>
      <c r="F605" s="132"/>
      <c r="G605" s="132"/>
      <c r="H605" s="132"/>
      <c r="I605" s="132"/>
      <c r="J605" s="132"/>
    </row>
    <row r="606" spans="1:10" ht="12.75">
      <c r="A606" s="131"/>
      <c r="B606" s="132"/>
      <c r="C606" s="132"/>
      <c r="D606" s="132"/>
      <c r="E606" s="132"/>
      <c r="F606" s="132"/>
      <c r="G606" s="132"/>
      <c r="H606" s="132"/>
      <c r="I606" s="132"/>
      <c r="J606" s="132"/>
    </row>
    <row r="607" spans="1:10" ht="12.75">
      <c r="A607" s="131"/>
      <c r="B607" s="132"/>
      <c r="C607" s="132"/>
      <c r="D607" s="132"/>
      <c r="E607" s="132"/>
      <c r="F607" s="132"/>
      <c r="G607" s="132"/>
      <c r="H607" s="132"/>
      <c r="I607" s="132"/>
      <c r="J607" s="132"/>
    </row>
    <row r="608" spans="1:10" ht="12.75">
      <c r="A608" s="131"/>
      <c r="B608" s="132"/>
      <c r="C608" s="132"/>
      <c r="D608" s="132"/>
      <c r="E608" s="132"/>
      <c r="F608" s="132"/>
      <c r="G608" s="132"/>
      <c r="H608" s="132"/>
      <c r="I608" s="132"/>
      <c r="J608" s="132"/>
    </row>
    <row r="609" spans="1:10" ht="12.75">
      <c r="A609" s="131"/>
      <c r="B609" s="132"/>
      <c r="C609" s="132"/>
      <c r="D609" s="132"/>
      <c r="E609" s="132"/>
      <c r="F609" s="132"/>
      <c r="G609" s="132"/>
      <c r="H609" s="132"/>
      <c r="I609" s="132"/>
      <c r="J609" s="132"/>
    </row>
    <row r="610" spans="1:10" ht="12.75">
      <c r="A610" s="131"/>
      <c r="B610" s="132"/>
      <c r="C610" s="132"/>
      <c r="D610" s="132"/>
      <c r="E610" s="132"/>
      <c r="F610" s="132"/>
      <c r="G610" s="132"/>
      <c r="H610" s="132"/>
      <c r="I610" s="132"/>
      <c r="J610" s="132"/>
    </row>
    <row r="611" spans="1:10" ht="12.75">
      <c r="A611" s="131"/>
      <c r="B611" s="132"/>
      <c r="C611" s="132"/>
      <c r="D611" s="132"/>
      <c r="E611" s="132"/>
      <c r="F611" s="132"/>
      <c r="G611" s="132"/>
      <c r="H611" s="132"/>
      <c r="I611" s="132"/>
      <c r="J611" s="132"/>
    </row>
    <row r="612" spans="1:10" ht="12.75">
      <c r="A612" s="131"/>
      <c r="B612" s="132"/>
      <c r="C612" s="132"/>
      <c r="D612" s="132"/>
      <c r="E612" s="132"/>
      <c r="F612" s="132"/>
      <c r="G612" s="132"/>
      <c r="H612" s="132"/>
      <c r="I612" s="132"/>
      <c r="J612" s="132"/>
    </row>
    <row r="613" spans="1:10" ht="12.75">
      <c r="A613" s="131"/>
      <c r="B613" s="132"/>
      <c r="C613" s="132"/>
      <c r="D613" s="132"/>
      <c r="E613" s="132"/>
      <c r="F613" s="132"/>
      <c r="G613" s="132"/>
      <c r="H613" s="132"/>
      <c r="I613" s="132"/>
      <c r="J613" s="132"/>
    </row>
    <row r="614" spans="1:10" ht="12.75">
      <c r="A614" s="131"/>
      <c r="B614" s="132"/>
      <c r="C614" s="132"/>
      <c r="D614" s="132"/>
      <c r="E614" s="132"/>
      <c r="F614" s="132"/>
      <c r="G614" s="132"/>
      <c r="H614" s="132"/>
      <c r="I614" s="132"/>
      <c r="J614" s="132"/>
    </row>
    <row r="615" spans="1:10" ht="12.75">
      <c r="A615" s="131"/>
      <c r="B615" s="132"/>
      <c r="C615" s="132"/>
      <c r="D615" s="132"/>
      <c r="E615" s="132"/>
      <c r="F615" s="132"/>
      <c r="G615" s="132"/>
      <c r="H615" s="132"/>
      <c r="I615" s="132"/>
      <c r="J615" s="132"/>
    </row>
    <row r="616" spans="1:10" ht="12.75">
      <c r="A616" s="131"/>
      <c r="B616" s="132"/>
      <c r="C616" s="132"/>
      <c r="D616" s="132"/>
      <c r="E616" s="132"/>
      <c r="F616" s="132"/>
      <c r="G616" s="132"/>
      <c r="H616" s="132"/>
      <c r="I616" s="132"/>
      <c r="J616" s="132"/>
    </row>
    <row r="617" spans="1:10" ht="12.75">
      <c r="A617" s="131"/>
      <c r="B617" s="132"/>
      <c r="C617" s="132"/>
      <c r="D617" s="132"/>
      <c r="E617" s="132"/>
      <c r="F617" s="132"/>
      <c r="G617" s="132"/>
      <c r="H617" s="132"/>
      <c r="I617" s="132"/>
      <c r="J617" s="132"/>
    </row>
    <row r="618" spans="1:10" ht="12.75">
      <c r="A618" s="131"/>
      <c r="B618" s="132"/>
      <c r="C618" s="132"/>
      <c r="D618" s="132"/>
      <c r="E618" s="132"/>
      <c r="F618" s="132"/>
      <c r="G618" s="132"/>
      <c r="H618" s="132"/>
      <c r="I618" s="132"/>
      <c r="J618" s="132"/>
    </row>
    <row r="619" spans="1:10" ht="12.75">
      <c r="A619" s="131"/>
      <c r="B619" s="132"/>
      <c r="C619" s="132"/>
      <c r="D619" s="132"/>
      <c r="E619" s="132"/>
      <c r="F619" s="132"/>
      <c r="G619" s="132"/>
      <c r="H619" s="132"/>
      <c r="I619" s="132"/>
      <c r="J619" s="132"/>
    </row>
    <row r="620" spans="1:10" ht="12.75">
      <c r="A620" s="131"/>
      <c r="B620" s="132"/>
      <c r="C620" s="132"/>
      <c r="D620" s="132"/>
      <c r="E620" s="132"/>
      <c r="F620" s="132"/>
      <c r="G620" s="132"/>
      <c r="H620" s="132"/>
      <c r="I620" s="132"/>
      <c r="J620" s="132"/>
    </row>
    <row r="621" spans="1:10" ht="12.75">
      <c r="A621" s="131"/>
      <c r="B621" s="132"/>
      <c r="C621" s="132"/>
      <c r="D621" s="132"/>
      <c r="E621" s="132"/>
      <c r="F621" s="132"/>
      <c r="G621" s="132"/>
      <c r="H621" s="132"/>
      <c r="I621" s="132"/>
      <c r="J621" s="132"/>
    </row>
    <row r="622" spans="1:10" ht="12.75">
      <c r="A622" s="131"/>
      <c r="B622" s="132"/>
      <c r="C622" s="132"/>
      <c r="D622" s="132"/>
      <c r="E622" s="132"/>
      <c r="F622" s="132"/>
      <c r="G622" s="132"/>
      <c r="H622" s="132"/>
      <c r="I622" s="132"/>
      <c r="J622" s="132"/>
    </row>
    <row r="623" spans="1:10" ht="12.75">
      <c r="A623" s="131"/>
      <c r="B623" s="132"/>
      <c r="C623" s="132"/>
      <c r="D623" s="132"/>
      <c r="E623" s="132"/>
      <c r="F623" s="132"/>
      <c r="G623" s="132"/>
      <c r="H623" s="132"/>
      <c r="I623" s="132"/>
      <c r="J623" s="132"/>
    </row>
    <row r="624" spans="1:10" ht="12.75">
      <c r="A624" s="131"/>
      <c r="B624" s="132"/>
      <c r="C624" s="132"/>
      <c r="D624" s="132"/>
      <c r="E624" s="132"/>
      <c r="F624" s="132"/>
      <c r="G624" s="132"/>
      <c r="H624" s="132"/>
      <c r="I624" s="132"/>
      <c r="J624" s="132"/>
    </row>
    <row r="625" spans="1:10" ht="12.75">
      <c r="A625" s="131"/>
      <c r="B625" s="132"/>
      <c r="C625" s="132"/>
      <c r="D625" s="132"/>
      <c r="E625" s="132"/>
      <c r="F625" s="132"/>
      <c r="G625" s="132"/>
      <c r="H625" s="132"/>
      <c r="I625" s="132"/>
      <c r="J625" s="132"/>
    </row>
    <row r="626" spans="1:10" ht="12.75">
      <c r="A626" s="131"/>
      <c r="B626" s="132"/>
      <c r="C626" s="132"/>
      <c r="D626" s="132"/>
      <c r="E626" s="132"/>
      <c r="F626" s="132"/>
      <c r="G626" s="132"/>
      <c r="H626" s="132"/>
      <c r="I626" s="132"/>
      <c r="J626" s="132"/>
    </row>
    <row r="627" spans="1:10" ht="12.75">
      <c r="A627" s="131"/>
      <c r="B627" s="132"/>
      <c r="C627" s="132"/>
      <c r="D627" s="132"/>
      <c r="E627" s="132"/>
      <c r="F627" s="132"/>
      <c r="G627" s="132"/>
      <c r="H627" s="132"/>
      <c r="I627" s="132"/>
      <c r="J627" s="132"/>
    </row>
    <row r="628" spans="1:10" ht="12.75">
      <c r="A628" s="131"/>
      <c r="B628" s="132"/>
      <c r="C628" s="132"/>
      <c r="D628" s="132"/>
      <c r="E628" s="132"/>
      <c r="F628" s="132"/>
      <c r="G628" s="132"/>
      <c r="H628" s="132"/>
      <c r="I628" s="132"/>
      <c r="J628" s="132"/>
    </row>
    <row r="629" spans="1:10" ht="12.75">
      <c r="A629" s="131"/>
      <c r="B629" s="132"/>
      <c r="C629" s="132"/>
      <c r="D629" s="132"/>
      <c r="E629" s="132"/>
      <c r="F629" s="132"/>
      <c r="G629" s="132"/>
      <c r="H629" s="132"/>
      <c r="I629" s="132"/>
      <c r="J629" s="132"/>
    </row>
    <row r="630" spans="1:10" ht="12.75">
      <c r="A630" s="131"/>
      <c r="B630" s="132"/>
      <c r="C630" s="132"/>
      <c r="D630" s="132"/>
      <c r="E630" s="132"/>
      <c r="F630" s="132"/>
      <c r="G630" s="132"/>
      <c r="H630" s="132"/>
      <c r="I630" s="132"/>
      <c r="J630" s="132"/>
    </row>
    <row r="631" spans="1:10" ht="12.75">
      <c r="A631" s="131"/>
      <c r="B631" s="132"/>
      <c r="C631" s="132"/>
      <c r="D631" s="132"/>
      <c r="E631" s="132"/>
      <c r="F631" s="132"/>
      <c r="G631" s="132"/>
      <c r="H631" s="132"/>
      <c r="I631" s="132"/>
      <c r="J631" s="132"/>
    </row>
    <row r="632" spans="1:10" ht="12.75">
      <c r="A632" s="131"/>
      <c r="B632" s="132"/>
      <c r="C632" s="132"/>
      <c r="D632" s="132"/>
      <c r="E632" s="132"/>
      <c r="F632" s="132"/>
      <c r="G632" s="132"/>
      <c r="H632" s="132"/>
      <c r="I632" s="132"/>
      <c r="J632" s="132"/>
    </row>
    <row r="633" spans="1:10" ht="12.75">
      <c r="A633" s="131"/>
      <c r="B633" s="132"/>
      <c r="C633" s="132"/>
      <c r="D633" s="132"/>
      <c r="E633" s="132"/>
      <c r="F633" s="132"/>
      <c r="G633" s="132"/>
      <c r="H633" s="132"/>
      <c r="I633" s="132"/>
      <c r="J633" s="132"/>
    </row>
    <row r="634" spans="1:10" ht="12.75">
      <c r="A634" s="131"/>
      <c r="B634" s="132"/>
      <c r="C634" s="132"/>
      <c r="D634" s="132"/>
      <c r="E634" s="132"/>
      <c r="F634" s="132"/>
      <c r="G634" s="132"/>
      <c r="H634" s="132"/>
      <c r="I634" s="132"/>
      <c r="J634" s="132"/>
    </row>
    <row r="635" spans="1:10" ht="12.75">
      <c r="A635" s="131"/>
      <c r="B635" s="132"/>
      <c r="C635" s="132"/>
      <c r="D635" s="132"/>
      <c r="E635" s="132"/>
      <c r="F635" s="132"/>
      <c r="G635" s="132"/>
      <c r="H635" s="132"/>
      <c r="I635" s="132"/>
      <c r="J635" s="132"/>
    </row>
    <row r="636" spans="1:10" ht="12.75">
      <c r="A636" s="131"/>
      <c r="B636" s="132"/>
      <c r="C636" s="132"/>
      <c r="D636" s="132"/>
      <c r="E636" s="132"/>
      <c r="F636" s="132"/>
      <c r="G636" s="132"/>
      <c r="H636" s="132"/>
      <c r="I636" s="132"/>
      <c r="J636" s="132"/>
    </row>
    <row r="637" spans="1:10" ht="12.75">
      <c r="A637" s="131"/>
      <c r="B637" s="132"/>
      <c r="C637" s="132"/>
      <c r="D637" s="132"/>
      <c r="E637" s="132"/>
      <c r="F637" s="132"/>
      <c r="G637" s="132"/>
      <c r="H637" s="132"/>
      <c r="I637" s="132"/>
      <c r="J637" s="132"/>
    </row>
    <row r="638" spans="1:10" ht="12.75">
      <c r="A638" s="131"/>
      <c r="B638" s="132"/>
      <c r="C638" s="132"/>
      <c r="D638" s="132"/>
      <c r="E638" s="132"/>
      <c r="F638" s="132"/>
      <c r="G638" s="132"/>
      <c r="H638" s="132"/>
      <c r="I638" s="132"/>
      <c r="J638" s="132"/>
    </row>
    <row r="639" spans="1:10" ht="12.75">
      <c r="A639" s="131"/>
      <c r="B639" s="132"/>
      <c r="C639" s="132"/>
      <c r="D639" s="132"/>
      <c r="E639" s="132"/>
      <c r="F639" s="132"/>
      <c r="G639" s="132"/>
      <c r="H639" s="132"/>
      <c r="I639" s="132"/>
      <c r="J639" s="132"/>
    </row>
    <row r="640" spans="1:10" ht="12.75">
      <c r="A640" s="131"/>
      <c r="B640" s="132"/>
      <c r="C640" s="132"/>
      <c r="D640" s="132"/>
      <c r="E640" s="132"/>
      <c r="F640" s="132"/>
      <c r="G640" s="132"/>
      <c r="H640" s="132"/>
      <c r="I640" s="132"/>
      <c r="J640" s="132"/>
    </row>
    <row r="641" spans="1:10" ht="12.75">
      <c r="A641" s="131"/>
      <c r="B641" s="132"/>
      <c r="C641" s="132"/>
      <c r="D641" s="132"/>
      <c r="E641" s="132"/>
      <c r="F641" s="132"/>
      <c r="G641" s="132"/>
      <c r="H641" s="132"/>
      <c r="I641" s="132"/>
      <c r="J641" s="132"/>
    </row>
    <row r="642" spans="1:10" ht="12.75">
      <c r="A642" s="131"/>
      <c r="B642" s="132"/>
      <c r="C642" s="132"/>
      <c r="D642" s="132"/>
      <c r="E642" s="132"/>
      <c r="F642" s="132"/>
      <c r="G642" s="132"/>
      <c r="H642" s="132"/>
      <c r="I642" s="132"/>
      <c r="J642" s="132"/>
    </row>
    <row r="643" spans="1:10" ht="12.75">
      <c r="A643" s="131"/>
      <c r="B643" s="132"/>
      <c r="C643" s="132"/>
      <c r="D643" s="132"/>
      <c r="E643" s="132"/>
      <c r="F643" s="132"/>
      <c r="G643" s="132"/>
      <c r="H643" s="132"/>
      <c r="I643" s="132"/>
      <c r="J643" s="132"/>
    </row>
    <row r="644" spans="1:10" ht="12.75">
      <c r="A644" s="131"/>
      <c r="B644" s="132"/>
      <c r="C644" s="132"/>
      <c r="D644" s="132"/>
      <c r="E644" s="132"/>
      <c r="F644" s="132"/>
      <c r="G644" s="132"/>
      <c r="H644" s="132"/>
      <c r="I644" s="132"/>
      <c r="J644" s="132"/>
    </row>
    <row r="645" spans="1:10" ht="12.75">
      <c r="A645" s="131"/>
      <c r="B645" s="132"/>
      <c r="C645" s="132"/>
      <c r="D645" s="132"/>
      <c r="E645" s="132"/>
      <c r="F645" s="132"/>
      <c r="G645" s="132"/>
      <c r="H645" s="132"/>
      <c r="I645" s="132"/>
      <c r="J645" s="132"/>
    </row>
    <row r="646" spans="1:10" ht="12.75">
      <c r="A646" s="131"/>
      <c r="B646" s="132"/>
      <c r="C646" s="132"/>
      <c r="D646" s="132"/>
      <c r="E646" s="132"/>
      <c r="F646" s="132"/>
      <c r="G646" s="132"/>
      <c r="H646" s="132"/>
      <c r="I646" s="132"/>
      <c r="J646" s="132"/>
    </row>
    <row r="647" spans="1:10" ht="12.75">
      <c r="A647" s="131"/>
      <c r="B647" s="132"/>
      <c r="C647" s="132"/>
      <c r="D647" s="132"/>
      <c r="E647" s="132"/>
      <c r="F647" s="132"/>
      <c r="G647" s="132"/>
      <c r="H647" s="132"/>
      <c r="I647" s="132"/>
      <c r="J647" s="132"/>
    </row>
    <row r="648" spans="1:10" ht="12.75">
      <c r="A648" s="131"/>
      <c r="B648" s="132"/>
      <c r="C648" s="132"/>
      <c r="D648" s="132"/>
      <c r="E648" s="132"/>
      <c r="F648" s="132"/>
      <c r="G648" s="132"/>
      <c r="H648" s="132"/>
      <c r="I648" s="132"/>
      <c r="J648" s="132"/>
    </row>
    <row r="649" spans="1:10" ht="12.75">
      <c r="A649" s="131"/>
      <c r="B649" s="132"/>
      <c r="C649" s="132"/>
      <c r="D649" s="132"/>
      <c r="E649" s="132"/>
      <c r="F649" s="132"/>
      <c r="G649" s="132"/>
      <c r="H649" s="132"/>
      <c r="I649" s="132"/>
      <c r="J649" s="132"/>
    </row>
    <row r="650" spans="1:10" ht="12.75">
      <c r="A650" s="131"/>
      <c r="B650" s="132"/>
      <c r="C650" s="132"/>
      <c r="D650" s="132"/>
      <c r="E650" s="132"/>
      <c r="F650" s="132"/>
      <c r="G650" s="132"/>
      <c r="H650" s="132"/>
      <c r="I650" s="132"/>
      <c r="J650" s="132"/>
    </row>
    <row r="651" spans="1:10" ht="12.75">
      <c r="A651" s="131"/>
      <c r="B651" s="132"/>
      <c r="C651" s="132"/>
      <c r="D651" s="132"/>
      <c r="E651" s="132"/>
      <c r="F651" s="132"/>
      <c r="G651" s="132"/>
      <c r="H651" s="132"/>
      <c r="I651" s="132"/>
      <c r="J651" s="132"/>
    </row>
    <row r="652" spans="1:10" ht="12.75">
      <c r="A652" s="131"/>
      <c r="B652" s="132"/>
      <c r="C652" s="132"/>
      <c r="D652" s="132"/>
      <c r="E652" s="132"/>
      <c r="F652" s="132"/>
      <c r="G652" s="132"/>
      <c r="H652" s="132"/>
      <c r="I652" s="132"/>
      <c r="J652" s="132"/>
    </row>
    <row r="653" spans="1:10" ht="12.75">
      <c r="A653" s="131"/>
      <c r="B653" s="132"/>
      <c r="C653" s="132"/>
      <c r="D653" s="132"/>
      <c r="E653" s="132"/>
      <c r="F653" s="132"/>
      <c r="G653" s="132"/>
      <c r="H653" s="132"/>
      <c r="I653" s="132"/>
      <c r="J653" s="132"/>
    </row>
    <row r="654" spans="1:10" ht="12.75">
      <c r="A654" s="131"/>
      <c r="B654" s="132"/>
      <c r="C654" s="132"/>
      <c r="D654" s="132"/>
      <c r="E654" s="132"/>
      <c r="F654" s="132"/>
      <c r="G654" s="132"/>
      <c r="H654" s="132"/>
      <c r="I654" s="132"/>
      <c r="J654" s="132"/>
    </row>
    <row r="655" spans="1:10" ht="12.75">
      <c r="A655" s="131"/>
      <c r="B655" s="132"/>
      <c r="C655" s="132"/>
      <c r="D655" s="132"/>
      <c r="E655" s="132"/>
      <c r="F655" s="132"/>
      <c r="G655" s="132"/>
      <c r="H655" s="132"/>
      <c r="I655" s="132"/>
      <c r="J655" s="132"/>
    </row>
    <row r="656" spans="1:10" ht="12.75">
      <c r="A656" s="131"/>
      <c r="B656" s="132"/>
      <c r="C656" s="132"/>
      <c r="D656" s="132"/>
      <c r="E656" s="132"/>
      <c r="F656" s="132"/>
      <c r="G656" s="132"/>
      <c r="H656" s="132"/>
      <c r="I656" s="132"/>
      <c r="J656" s="132"/>
    </row>
    <row r="657" spans="1:10" ht="12.75">
      <c r="A657" s="131"/>
      <c r="B657" s="132"/>
      <c r="C657" s="132"/>
      <c r="D657" s="132"/>
      <c r="E657" s="132"/>
      <c r="F657" s="132"/>
      <c r="G657" s="132"/>
      <c r="H657" s="132"/>
      <c r="I657" s="132"/>
      <c r="J657" s="132"/>
    </row>
    <row r="658" spans="1:10" ht="12.75">
      <c r="A658" s="131"/>
      <c r="B658" s="132"/>
      <c r="C658" s="132"/>
      <c r="D658" s="132"/>
      <c r="E658" s="132"/>
      <c r="F658" s="132"/>
      <c r="G658" s="132"/>
      <c r="H658" s="132"/>
      <c r="I658" s="132"/>
      <c r="J658" s="132"/>
    </row>
    <row r="659" spans="1:10" ht="12.75">
      <c r="A659" s="131"/>
      <c r="B659" s="132"/>
      <c r="C659" s="132"/>
      <c r="D659" s="132"/>
      <c r="E659" s="132"/>
      <c r="F659" s="132"/>
      <c r="G659" s="132"/>
      <c r="H659" s="132"/>
      <c r="I659" s="132"/>
      <c r="J659" s="132"/>
    </row>
    <row r="660" spans="1:10" ht="12.75">
      <c r="A660" s="131"/>
      <c r="B660" s="132"/>
      <c r="C660" s="132"/>
      <c r="D660" s="132"/>
      <c r="E660" s="132"/>
      <c r="F660" s="132"/>
      <c r="G660" s="132"/>
      <c r="H660" s="132"/>
      <c r="I660" s="132"/>
      <c r="J660" s="132"/>
    </row>
    <row r="661" spans="1:10" ht="12.75">
      <c r="A661" s="131"/>
      <c r="B661" s="132"/>
      <c r="C661" s="132"/>
      <c r="D661" s="132"/>
      <c r="E661" s="132"/>
      <c r="F661" s="132"/>
      <c r="G661" s="132"/>
      <c r="H661" s="132"/>
      <c r="I661" s="132"/>
      <c r="J661" s="132"/>
    </row>
    <row r="662" spans="1:10" ht="12.75">
      <c r="A662" s="131"/>
      <c r="B662" s="132"/>
      <c r="C662" s="132"/>
      <c r="D662" s="132"/>
      <c r="E662" s="132"/>
      <c r="F662" s="132"/>
      <c r="G662" s="132"/>
      <c r="H662" s="132"/>
      <c r="I662" s="132"/>
      <c r="J662" s="132"/>
    </row>
    <row r="663" spans="1:10" ht="12.75">
      <c r="A663" s="131"/>
      <c r="B663" s="132"/>
      <c r="C663" s="132"/>
      <c r="D663" s="132"/>
      <c r="E663" s="132"/>
      <c r="F663" s="132"/>
      <c r="G663" s="132"/>
      <c r="H663" s="132"/>
      <c r="I663" s="132"/>
      <c r="J663" s="132"/>
    </row>
    <row r="664" spans="1:10" ht="12.75">
      <c r="A664" s="131"/>
      <c r="B664" s="132"/>
      <c r="C664" s="132"/>
      <c r="D664" s="132"/>
      <c r="E664" s="132"/>
      <c r="F664" s="132"/>
      <c r="G664" s="132"/>
      <c r="H664" s="132"/>
      <c r="I664" s="132"/>
      <c r="J664" s="132"/>
    </row>
    <row r="665" spans="1:10" ht="12.75">
      <c r="A665" s="131"/>
      <c r="B665" s="132"/>
      <c r="C665" s="132"/>
      <c r="D665" s="132"/>
      <c r="E665" s="132"/>
      <c r="F665" s="132"/>
      <c r="G665" s="132"/>
      <c r="H665" s="132"/>
      <c r="I665" s="132"/>
      <c r="J665" s="132"/>
    </row>
    <row r="666" spans="1:10" ht="12.75">
      <c r="A666" s="131"/>
      <c r="B666" s="132"/>
      <c r="C666" s="132"/>
      <c r="D666" s="132"/>
      <c r="E666" s="132"/>
      <c r="F666" s="132"/>
      <c r="G666" s="132"/>
      <c r="H666" s="132"/>
      <c r="I666" s="132"/>
      <c r="J666" s="132"/>
    </row>
    <row r="667" spans="1:10" ht="12.75">
      <c r="A667" s="131"/>
      <c r="B667" s="132"/>
      <c r="C667" s="132"/>
      <c r="D667" s="132"/>
      <c r="E667" s="132"/>
      <c r="F667" s="132"/>
      <c r="G667" s="132"/>
      <c r="H667" s="132"/>
      <c r="I667" s="132"/>
      <c r="J667" s="132"/>
    </row>
    <row r="668" spans="1:10" ht="12.75">
      <c r="A668" s="131"/>
      <c r="B668" s="132"/>
      <c r="C668" s="132"/>
      <c r="D668" s="132"/>
      <c r="E668" s="132"/>
      <c r="F668" s="132"/>
      <c r="G668" s="132"/>
      <c r="H668" s="132"/>
      <c r="I668" s="132"/>
      <c r="J668" s="132"/>
    </row>
    <row r="669" spans="1:10" ht="12.75">
      <c r="A669" s="131"/>
      <c r="B669" s="132"/>
      <c r="C669" s="132"/>
      <c r="D669" s="132"/>
      <c r="E669" s="132"/>
      <c r="F669" s="132"/>
      <c r="G669" s="132"/>
      <c r="H669" s="132"/>
      <c r="I669" s="132"/>
      <c r="J669" s="132"/>
    </row>
    <row r="670" spans="1:10" ht="12.75">
      <c r="A670" s="131"/>
      <c r="B670" s="132"/>
      <c r="C670" s="132"/>
      <c r="D670" s="132"/>
      <c r="E670" s="132"/>
      <c r="F670" s="132"/>
      <c r="G670" s="132"/>
      <c r="H670" s="132"/>
      <c r="I670" s="132"/>
      <c r="J670" s="132"/>
    </row>
    <row r="671" spans="1:10" ht="12.75">
      <c r="A671" s="131"/>
      <c r="B671" s="132"/>
      <c r="C671" s="132"/>
      <c r="D671" s="132"/>
      <c r="E671" s="132"/>
      <c r="F671" s="132"/>
      <c r="G671" s="132"/>
      <c r="H671" s="132"/>
      <c r="I671" s="132"/>
      <c r="J671" s="132"/>
    </row>
    <row r="672" spans="1:10" ht="12.75">
      <c r="A672" s="131"/>
      <c r="B672" s="132"/>
      <c r="C672" s="132"/>
      <c r="D672" s="132"/>
      <c r="E672" s="132"/>
      <c r="F672" s="132"/>
      <c r="G672" s="132"/>
      <c r="H672" s="132"/>
      <c r="I672" s="132"/>
      <c r="J672" s="132"/>
    </row>
    <row r="673" spans="1:10" ht="12.75">
      <c r="A673" s="131"/>
      <c r="B673" s="132"/>
      <c r="C673" s="132"/>
      <c r="D673" s="132"/>
      <c r="E673" s="132"/>
      <c r="F673" s="132"/>
      <c r="G673" s="132"/>
      <c r="H673" s="132"/>
      <c r="I673" s="132"/>
      <c r="J673" s="132"/>
    </row>
    <row r="674" spans="1:10" ht="12.75">
      <c r="A674" s="131"/>
      <c r="B674" s="132"/>
      <c r="C674" s="132"/>
      <c r="D674" s="132"/>
      <c r="E674" s="132"/>
      <c r="F674" s="132"/>
      <c r="G674" s="132"/>
      <c r="H674" s="132"/>
      <c r="I674" s="132"/>
      <c r="J674" s="132"/>
    </row>
    <row r="675" spans="1:10" ht="12.75">
      <c r="A675" s="131"/>
      <c r="B675" s="132"/>
      <c r="C675" s="132"/>
      <c r="D675" s="132"/>
      <c r="E675" s="132"/>
      <c r="F675" s="132"/>
      <c r="G675" s="132"/>
      <c r="H675" s="132"/>
      <c r="I675" s="132"/>
      <c r="J675" s="132"/>
    </row>
    <row r="676" spans="1:10" ht="12.75">
      <c r="A676" s="131"/>
      <c r="B676" s="132"/>
      <c r="C676" s="132"/>
      <c r="D676" s="132"/>
      <c r="E676" s="132"/>
      <c r="F676" s="132"/>
      <c r="G676" s="132"/>
      <c r="H676" s="132"/>
      <c r="I676" s="132"/>
      <c r="J676" s="132"/>
    </row>
    <row r="677" spans="1:10" ht="12.75">
      <c r="A677" s="131"/>
      <c r="B677" s="132"/>
      <c r="C677" s="132"/>
      <c r="D677" s="132"/>
      <c r="E677" s="132"/>
      <c r="F677" s="132"/>
      <c r="G677" s="132"/>
      <c r="H677" s="132"/>
      <c r="I677" s="132"/>
      <c r="J677" s="132"/>
    </row>
    <row r="678" spans="1:10" ht="12.75">
      <c r="A678" s="131"/>
      <c r="B678" s="132"/>
      <c r="C678" s="132"/>
      <c r="D678" s="132"/>
      <c r="E678" s="132"/>
      <c r="F678" s="132"/>
      <c r="G678" s="132"/>
      <c r="H678" s="132"/>
      <c r="I678" s="132"/>
      <c r="J678" s="132"/>
    </row>
    <row r="679" spans="1:10" ht="12.75">
      <c r="A679" s="131"/>
      <c r="B679" s="132"/>
      <c r="C679" s="132"/>
      <c r="D679" s="132"/>
      <c r="E679" s="132"/>
      <c r="F679" s="132"/>
      <c r="G679" s="132"/>
      <c r="H679" s="132"/>
      <c r="I679" s="132"/>
      <c r="J679" s="132"/>
    </row>
    <row r="680" spans="1:10" ht="12.75">
      <c r="A680" s="131"/>
      <c r="B680" s="132"/>
      <c r="C680" s="132"/>
      <c r="D680" s="132"/>
      <c r="E680" s="132"/>
      <c r="F680" s="132"/>
      <c r="G680" s="132"/>
      <c r="H680" s="132"/>
      <c r="I680" s="132"/>
      <c r="J680" s="132"/>
    </row>
    <row r="681" spans="1:10" ht="12.75">
      <c r="A681" s="131"/>
      <c r="B681" s="132"/>
      <c r="C681" s="132"/>
      <c r="D681" s="132"/>
      <c r="E681" s="132"/>
      <c r="F681" s="132"/>
      <c r="G681" s="132"/>
      <c r="H681" s="132"/>
      <c r="I681" s="132"/>
      <c r="J681" s="132"/>
    </row>
    <row r="682" spans="1:10" ht="12.75">
      <c r="A682" s="131"/>
      <c r="B682" s="132"/>
      <c r="C682" s="132"/>
      <c r="D682" s="132"/>
      <c r="E682" s="132"/>
      <c r="F682" s="132"/>
      <c r="G682" s="132"/>
      <c r="H682" s="132"/>
      <c r="I682" s="132"/>
      <c r="J682" s="132"/>
    </row>
    <row r="683" spans="1:10" ht="12.75">
      <c r="A683" s="131"/>
      <c r="B683" s="132"/>
      <c r="C683" s="132"/>
      <c r="D683" s="132"/>
      <c r="E683" s="132"/>
      <c r="F683" s="132"/>
      <c r="G683" s="132"/>
      <c r="H683" s="132"/>
      <c r="I683" s="132"/>
      <c r="J683" s="132"/>
    </row>
    <row r="684" spans="1:10" ht="12.75">
      <c r="A684" s="131"/>
      <c r="B684" s="132"/>
      <c r="C684" s="132"/>
      <c r="D684" s="132"/>
      <c r="E684" s="132"/>
      <c r="F684" s="132"/>
      <c r="G684" s="132"/>
      <c r="H684" s="132"/>
      <c r="I684" s="132"/>
      <c r="J684" s="132"/>
    </row>
    <row r="685" spans="1:10" ht="12.75">
      <c r="A685" s="131"/>
      <c r="B685" s="132"/>
      <c r="C685" s="132"/>
      <c r="D685" s="132"/>
      <c r="E685" s="132"/>
      <c r="F685" s="132"/>
      <c r="G685" s="132"/>
      <c r="H685" s="132"/>
      <c r="I685" s="132"/>
      <c r="J685" s="132"/>
    </row>
    <row r="686" spans="1:10" ht="12.75">
      <c r="A686" s="131"/>
      <c r="B686" s="132"/>
      <c r="C686" s="132"/>
      <c r="D686" s="132"/>
      <c r="E686" s="132"/>
      <c r="F686" s="132"/>
      <c r="G686" s="132"/>
      <c r="H686" s="132"/>
      <c r="I686" s="132"/>
      <c r="J686" s="132"/>
    </row>
    <row r="687" spans="1:10" ht="12.75">
      <c r="A687" s="131"/>
      <c r="B687" s="132"/>
      <c r="C687" s="132"/>
      <c r="D687" s="132"/>
      <c r="E687" s="132"/>
      <c r="F687" s="132"/>
      <c r="G687" s="132"/>
      <c r="H687" s="132"/>
      <c r="I687" s="132"/>
      <c r="J687" s="132"/>
    </row>
    <row r="688" spans="1:10" ht="12.75">
      <c r="A688" s="131"/>
      <c r="B688" s="132"/>
      <c r="C688" s="132"/>
      <c r="D688" s="132"/>
      <c r="E688" s="132"/>
      <c r="F688" s="132"/>
      <c r="G688" s="132"/>
      <c r="H688" s="132"/>
      <c r="I688" s="132"/>
      <c r="J688" s="132"/>
    </row>
    <row r="689" spans="1:10" ht="12.75">
      <c r="A689" s="131"/>
      <c r="B689" s="132"/>
      <c r="C689" s="132"/>
      <c r="D689" s="132"/>
      <c r="E689" s="132"/>
      <c r="F689" s="132"/>
      <c r="G689" s="132"/>
      <c r="H689" s="132"/>
      <c r="I689" s="132"/>
      <c r="J689" s="132"/>
    </row>
    <row r="690" spans="1:10" ht="12.75">
      <c r="A690" s="131"/>
      <c r="B690" s="132"/>
      <c r="C690" s="132"/>
      <c r="D690" s="132"/>
      <c r="E690" s="132"/>
      <c r="F690" s="132"/>
      <c r="G690" s="132"/>
      <c r="H690" s="132"/>
      <c r="I690" s="132"/>
      <c r="J690" s="132"/>
    </row>
    <row r="691" spans="1:10" ht="12.75">
      <c r="A691" s="131"/>
      <c r="B691" s="132"/>
      <c r="C691" s="132"/>
      <c r="D691" s="132"/>
      <c r="E691" s="132"/>
      <c r="F691" s="132"/>
      <c r="G691" s="132"/>
      <c r="H691" s="132"/>
      <c r="I691" s="132"/>
      <c r="J691" s="132"/>
    </row>
    <row r="692" spans="1:10" ht="12.75">
      <c r="A692" s="131"/>
      <c r="B692" s="132"/>
      <c r="C692" s="132"/>
      <c r="D692" s="132"/>
      <c r="E692" s="132"/>
      <c r="F692" s="132"/>
      <c r="G692" s="132"/>
      <c r="H692" s="132"/>
      <c r="I692" s="132"/>
      <c r="J692" s="132"/>
    </row>
    <row r="693" spans="1:10" ht="12.75">
      <c r="A693" s="131"/>
      <c r="B693" s="132"/>
      <c r="C693" s="132"/>
      <c r="D693" s="132"/>
      <c r="E693" s="132"/>
      <c r="F693" s="132"/>
      <c r="G693" s="132"/>
      <c r="H693" s="132"/>
      <c r="I693" s="132"/>
      <c r="J693" s="132"/>
    </row>
    <row r="694" spans="1:10" ht="12.75">
      <c r="A694" s="131"/>
      <c r="B694" s="132"/>
      <c r="C694" s="132"/>
      <c r="D694" s="132"/>
      <c r="E694" s="132"/>
      <c r="F694" s="132"/>
      <c r="G694" s="132"/>
      <c r="H694" s="132"/>
      <c r="I694" s="132"/>
      <c r="J694" s="132"/>
    </row>
    <row r="695" spans="1:10" ht="12.75">
      <c r="A695" s="131"/>
      <c r="B695" s="132"/>
      <c r="C695" s="132"/>
      <c r="D695" s="132"/>
      <c r="E695" s="132"/>
      <c r="F695" s="132"/>
      <c r="G695" s="132"/>
      <c r="H695" s="132"/>
      <c r="I695" s="132"/>
      <c r="J695" s="132"/>
    </row>
    <row r="696" spans="1:10" ht="12.75">
      <c r="A696" s="131"/>
      <c r="B696" s="132"/>
      <c r="C696" s="132"/>
      <c r="D696" s="132"/>
      <c r="E696" s="132"/>
      <c r="F696" s="132"/>
      <c r="G696" s="132"/>
      <c r="H696" s="132"/>
      <c r="I696" s="132"/>
      <c r="J696" s="132"/>
    </row>
    <row r="697" spans="1:10" ht="12.75">
      <c r="A697" s="131"/>
      <c r="B697" s="132"/>
      <c r="C697" s="132"/>
      <c r="D697" s="132"/>
      <c r="E697" s="132"/>
      <c r="F697" s="132"/>
      <c r="G697" s="132"/>
      <c r="H697" s="132"/>
      <c r="I697" s="132"/>
      <c r="J697" s="132"/>
    </row>
    <row r="698" spans="1:10" ht="12.75">
      <c r="A698" s="131"/>
      <c r="B698" s="132"/>
      <c r="C698" s="132"/>
      <c r="D698" s="132"/>
      <c r="E698" s="132"/>
      <c r="F698" s="132"/>
      <c r="G698" s="132"/>
      <c r="H698" s="132"/>
      <c r="I698" s="132"/>
      <c r="J698" s="132"/>
    </row>
    <row r="699" spans="1:10" ht="12.75">
      <c r="A699" s="131"/>
      <c r="B699" s="132"/>
      <c r="C699" s="132"/>
      <c r="D699" s="132"/>
      <c r="E699" s="132"/>
      <c r="F699" s="132"/>
      <c r="G699" s="132"/>
      <c r="H699" s="132"/>
      <c r="I699" s="132"/>
      <c r="J699" s="132"/>
    </row>
    <row r="700" spans="1:10" ht="12.75">
      <c r="A700" s="131"/>
      <c r="B700" s="132"/>
      <c r="C700" s="132"/>
      <c r="D700" s="132"/>
      <c r="E700" s="132"/>
      <c r="F700" s="132"/>
      <c r="G700" s="132"/>
      <c r="H700" s="132"/>
      <c r="I700" s="132"/>
      <c r="J700" s="132"/>
    </row>
    <row r="701" spans="1:10" ht="12.75">
      <c r="A701" s="131"/>
      <c r="B701" s="132"/>
      <c r="C701" s="132"/>
      <c r="D701" s="132"/>
      <c r="E701" s="132"/>
      <c r="F701" s="132"/>
      <c r="G701" s="132"/>
      <c r="H701" s="132"/>
      <c r="I701" s="132"/>
      <c r="J701" s="132"/>
    </row>
    <row r="702" spans="1:10" ht="12.75">
      <c r="A702" s="131"/>
      <c r="B702" s="132"/>
      <c r="C702" s="132"/>
      <c r="D702" s="132"/>
      <c r="E702" s="132"/>
      <c r="F702" s="132"/>
      <c r="G702" s="132"/>
      <c r="H702" s="132"/>
      <c r="I702" s="132"/>
      <c r="J702" s="132"/>
    </row>
    <row r="703" spans="1:10" ht="12.75">
      <c r="A703" s="131"/>
      <c r="B703" s="132"/>
      <c r="C703" s="132"/>
      <c r="D703" s="132"/>
      <c r="E703" s="132"/>
      <c r="F703" s="132"/>
      <c r="G703" s="132"/>
      <c r="H703" s="132"/>
      <c r="I703" s="132"/>
      <c r="J703" s="132"/>
    </row>
    <row r="704" spans="1:10" ht="12.75">
      <c r="A704" s="131"/>
      <c r="B704" s="132"/>
      <c r="C704" s="132"/>
      <c r="D704" s="132"/>
      <c r="E704" s="132"/>
      <c r="F704" s="132"/>
      <c r="G704" s="132"/>
      <c r="H704" s="132"/>
      <c r="I704" s="132"/>
      <c r="J704" s="132"/>
    </row>
    <row r="705" spans="1:10" ht="12.75">
      <c r="A705" s="131"/>
      <c r="B705" s="132"/>
      <c r="C705" s="132"/>
      <c r="D705" s="132"/>
      <c r="E705" s="132"/>
      <c r="F705" s="132"/>
      <c r="G705" s="132"/>
      <c r="H705" s="132"/>
      <c r="I705" s="132"/>
      <c r="J705" s="132"/>
    </row>
    <row r="706" spans="1:10" ht="12.75">
      <c r="A706" s="131"/>
      <c r="B706" s="132"/>
      <c r="C706" s="132"/>
      <c r="D706" s="132"/>
      <c r="E706" s="132"/>
      <c r="F706" s="132"/>
      <c r="G706" s="132"/>
      <c r="H706" s="132"/>
      <c r="I706" s="132"/>
      <c r="J706" s="132"/>
    </row>
    <row r="707" spans="1:10" ht="12.75">
      <c r="A707" s="131"/>
      <c r="B707" s="132"/>
      <c r="C707" s="132"/>
      <c r="D707" s="132"/>
      <c r="E707" s="132"/>
      <c r="F707" s="132"/>
      <c r="G707" s="132"/>
      <c r="H707" s="132"/>
      <c r="I707" s="132"/>
      <c r="J707" s="132"/>
    </row>
    <row r="708" spans="1:10" ht="12.75">
      <c r="A708" s="131"/>
      <c r="B708" s="132"/>
      <c r="C708" s="132"/>
      <c r="D708" s="132"/>
      <c r="E708" s="132"/>
      <c r="F708" s="132"/>
      <c r="G708" s="132"/>
      <c r="H708" s="132"/>
      <c r="I708" s="132"/>
      <c r="J708" s="132"/>
    </row>
    <row r="709" spans="1:10" ht="12.75">
      <c r="A709" s="131"/>
      <c r="B709" s="132"/>
      <c r="C709" s="132"/>
      <c r="D709" s="132"/>
      <c r="E709" s="132"/>
      <c r="F709" s="132"/>
      <c r="G709" s="132"/>
      <c r="H709" s="132"/>
      <c r="I709" s="132"/>
      <c r="J709" s="132"/>
    </row>
    <row r="710" spans="1:10" ht="12.75">
      <c r="A710" s="131"/>
      <c r="B710" s="132"/>
      <c r="C710" s="132"/>
      <c r="D710" s="132"/>
      <c r="E710" s="132"/>
      <c r="F710" s="132"/>
      <c r="G710" s="132"/>
      <c r="H710" s="132"/>
      <c r="I710" s="132"/>
      <c r="J710" s="132"/>
    </row>
    <row r="711" spans="1:10" ht="12.75">
      <c r="A711" s="131"/>
      <c r="B711" s="132"/>
      <c r="C711" s="132"/>
      <c r="D711" s="132"/>
      <c r="E711" s="132"/>
      <c r="F711" s="132"/>
      <c r="G711" s="132"/>
      <c r="H711" s="132"/>
      <c r="I711" s="132"/>
      <c r="J711" s="132"/>
    </row>
    <row r="712" spans="1:10" ht="12.75">
      <c r="A712" s="131"/>
      <c r="B712" s="132"/>
      <c r="C712" s="132"/>
      <c r="D712" s="132"/>
      <c r="E712" s="132"/>
      <c r="F712" s="132"/>
      <c r="G712" s="132"/>
      <c r="H712" s="132"/>
      <c r="I712" s="132"/>
      <c r="J712" s="132"/>
    </row>
    <row r="713" spans="1:10" ht="12.75">
      <c r="A713" s="131"/>
      <c r="B713" s="132"/>
      <c r="C713" s="132"/>
      <c r="D713" s="132"/>
      <c r="E713" s="132"/>
      <c r="F713" s="132"/>
      <c r="G713" s="132"/>
      <c r="H713" s="132"/>
      <c r="I713" s="132"/>
      <c r="J713" s="132"/>
    </row>
    <row r="714" spans="1:10" ht="12.75">
      <c r="A714" s="131"/>
      <c r="B714" s="132"/>
      <c r="C714" s="132"/>
      <c r="D714" s="132"/>
      <c r="E714" s="132"/>
      <c r="F714" s="132"/>
      <c r="G714" s="132"/>
      <c r="H714" s="132"/>
      <c r="I714" s="132"/>
      <c r="J714" s="132"/>
    </row>
    <row r="715" spans="1:10" ht="12.75">
      <c r="A715" s="131"/>
      <c r="B715" s="132"/>
      <c r="C715" s="132"/>
      <c r="D715" s="132"/>
      <c r="E715" s="132"/>
      <c r="F715" s="132"/>
      <c r="G715" s="132"/>
      <c r="H715" s="132"/>
      <c r="I715" s="132"/>
      <c r="J715" s="132"/>
    </row>
    <row r="716" spans="1:10" ht="12.75">
      <c r="A716" s="131"/>
      <c r="B716" s="132"/>
      <c r="C716" s="132"/>
      <c r="D716" s="132"/>
      <c r="E716" s="133"/>
      <c r="F716" s="132"/>
      <c r="G716" s="132"/>
      <c r="H716" s="132"/>
      <c r="I716" s="132"/>
      <c r="J716" s="132"/>
    </row>
    <row r="717" spans="1:10" ht="12.75">
      <c r="A717" s="131"/>
      <c r="B717" s="132"/>
      <c r="C717" s="132"/>
      <c r="D717" s="132"/>
      <c r="E717" s="133"/>
      <c r="F717" s="132"/>
      <c r="G717" s="132"/>
      <c r="H717" s="132"/>
      <c r="I717" s="132"/>
      <c r="J717" s="132"/>
    </row>
    <row r="718" spans="1:10" ht="12.75">
      <c r="A718" s="131"/>
      <c r="B718" s="132"/>
      <c r="C718" s="132"/>
      <c r="D718" s="132"/>
      <c r="E718" s="133"/>
      <c r="F718" s="132"/>
      <c r="G718" s="132"/>
      <c r="H718" s="132"/>
      <c r="I718" s="132"/>
      <c r="J718" s="132"/>
    </row>
    <row r="719" spans="1:10" ht="12.75">
      <c r="A719" s="131"/>
      <c r="B719" s="132"/>
      <c r="C719" s="132"/>
      <c r="D719" s="132"/>
      <c r="E719" s="133"/>
      <c r="F719" s="132"/>
      <c r="G719" s="132"/>
      <c r="H719" s="132"/>
      <c r="I719" s="132"/>
      <c r="J719" s="132"/>
    </row>
    <row r="720" spans="1:10" ht="12.75">
      <c r="A720" s="131"/>
      <c r="B720" s="132"/>
      <c r="C720" s="132"/>
      <c r="D720" s="132"/>
      <c r="E720" s="133"/>
      <c r="F720" s="132"/>
      <c r="G720" s="132"/>
      <c r="H720" s="132"/>
      <c r="I720" s="132"/>
      <c r="J720" s="132"/>
    </row>
    <row r="721" spans="1:10" ht="12.75">
      <c r="A721" s="131"/>
      <c r="B721" s="132"/>
      <c r="C721" s="132"/>
      <c r="D721" s="132"/>
      <c r="E721" s="133"/>
      <c r="F721" s="132"/>
      <c r="G721" s="132"/>
      <c r="H721" s="132"/>
      <c r="I721" s="132"/>
      <c r="J721" s="132"/>
    </row>
    <row r="722" spans="1:10" ht="12.75">
      <c r="A722" s="131"/>
      <c r="B722" s="132"/>
      <c r="C722" s="132"/>
      <c r="D722" s="132"/>
      <c r="E722" s="133"/>
      <c r="F722" s="132"/>
      <c r="G722" s="132"/>
      <c r="H722" s="132"/>
      <c r="I722" s="132"/>
      <c r="J722" s="132"/>
    </row>
    <row r="723" spans="1:10" ht="12.75">
      <c r="A723" s="131"/>
      <c r="B723" s="132"/>
      <c r="C723" s="132"/>
      <c r="D723" s="132"/>
      <c r="E723" s="133"/>
      <c r="F723" s="132"/>
      <c r="G723" s="132"/>
      <c r="H723" s="132"/>
      <c r="I723" s="132"/>
      <c r="J723" s="132"/>
    </row>
    <row r="724" spans="1:10" ht="12.75">
      <c r="A724" s="131"/>
      <c r="B724" s="132"/>
      <c r="C724" s="132"/>
      <c r="D724" s="132"/>
      <c r="E724" s="133"/>
      <c r="F724" s="132"/>
      <c r="G724" s="132"/>
      <c r="H724" s="132"/>
      <c r="I724" s="132"/>
      <c r="J724" s="132"/>
    </row>
    <row r="725" spans="1:10" ht="12.75">
      <c r="A725" s="131"/>
      <c r="B725" s="132"/>
      <c r="C725" s="132"/>
      <c r="D725" s="132"/>
      <c r="E725" s="133"/>
      <c r="F725" s="132"/>
      <c r="G725" s="132"/>
      <c r="H725" s="132"/>
      <c r="I725" s="132"/>
      <c r="J725" s="132"/>
    </row>
    <row r="726" spans="1:10" ht="12.75">
      <c r="A726" s="131"/>
      <c r="B726" s="132"/>
      <c r="C726" s="132"/>
      <c r="D726" s="132"/>
      <c r="E726" s="133"/>
      <c r="F726" s="132"/>
      <c r="G726" s="132"/>
      <c r="H726" s="132"/>
      <c r="I726" s="132"/>
      <c r="J726" s="132"/>
    </row>
    <row r="727" spans="1:10" ht="12.75">
      <c r="A727" s="131"/>
      <c r="B727" s="132"/>
      <c r="C727" s="132"/>
      <c r="D727" s="132"/>
      <c r="E727" s="133"/>
      <c r="F727" s="132"/>
      <c r="G727" s="132"/>
      <c r="H727" s="132"/>
      <c r="I727" s="132"/>
      <c r="J727" s="132"/>
    </row>
    <row r="728" spans="1:10" ht="12.75">
      <c r="A728" s="131"/>
      <c r="B728" s="132"/>
      <c r="C728" s="132"/>
      <c r="D728" s="132"/>
      <c r="E728" s="133"/>
      <c r="F728" s="132"/>
      <c r="G728" s="132"/>
      <c r="H728" s="132"/>
      <c r="I728" s="132"/>
      <c r="J728" s="132"/>
    </row>
    <row r="729" spans="1:10" ht="12.75">
      <c r="A729" s="131"/>
      <c r="B729" s="132"/>
      <c r="C729" s="132"/>
      <c r="D729" s="132"/>
      <c r="E729" s="133"/>
      <c r="F729" s="132"/>
      <c r="G729" s="132"/>
      <c r="H729" s="132"/>
      <c r="I729" s="132"/>
      <c r="J729" s="132"/>
    </row>
    <row r="730" spans="1:10" ht="12.75">
      <c r="A730" s="131"/>
      <c r="B730" s="132"/>
      <c r="C730" s="132"/>
      <c r="D730" s="132"/>
      <c r="E730" s="133"/>
      <c r="F730" s="132"/>
      <c r="G730" s="132"/>
      <c r="H730" s="132"/>
      <c r="I730" s="132"/>
      <c r="J730" s="132"/>
    </row>
    <row r="731" spans="1:10" ht="12.75">
      <c r="A731" s="131"/>
      <c r="B731" s="132"/>
      <c r="C731" s="132"/>
      <c r="D731" s="132"/>
      <c r="E731" s="133"/>
      <c r="F731" s="132"/>
      <c r="G731" s="132"/>
      <c r="H731" s="132"/>
      <c r="I731" s="132"/>
      <c r="J731" s="132"/>
    </row>
    <row r="732" spans="1:10" ht="12.75">
      <c r="A732" s="131"/>
      <c r="B732" s="132"/>
      <c r="C732" s="132"/>
      <c r="D732" s="132"/>
      <c r="E732" s="133"/>
      <c r="F732" s="132"/>
      <c r="G732" s="132"/>
      <c r="H732" s="132"/>
      <c r="I732" s="132"/>
      <c r="J732" s="132"/>
    </row>
    <row r="733" spans="1:10" ht="12.75">
      <c r="A733" s="131"/>
      <c r="B733" s="132"/>
      <c r="C733" s="132"/>
      <c r="D733" s="132"/>
      <c r="E733" s="133"/>
      <c r="F733" s="132"/>
      <c r="G733" s="132"/>
      <c r="H733" s="132"/>
      <c r="I733" s="132"/>
      <c r="J733" s="132"/>
    </row>
    <row r="734" spans="1:10" ht="12.75">
      <c r="A734" s="131"/>
      <c r="B734" s="132"/>
      <c r="C734" s="132"/>
      <c r="D734" s="132"/>
      <c r="E734" s="133"/>
      <c r="F734" s="132"/>
      <c r="G734" s="132"/>
      <c r="H734" s="132"/>
      <c r="I734" s="132"/>
      <c r="J734" s="132"/>
    </row>
    <row r="735" spans="1:10" ht="12.75">
      <c r="A735" s="131"/>
      <c r="B735" s="132"/>
      <c r="C735" s="132"/>
      <c r="D735" s="132"/>
      <c r="E735" s="133"/>
      <c r="F735" s="132"/>
      <c r="G735" s="132"/>
      <c r="H735" s="132"/>
      <c r="I735" s="132"/>
      <c r="J735" s="132"/>
    </row>
    <row r="736" spans="1:10" ht="12.75">
      <c r="A736" s="131"/>
      <c r="B736" s="132"/>
      <c r="C736" s="132"/>
      <c r="D736" s="132"/>
      <c r="E736" s="133"/>
      <c r="F736" s="132"/>
      <c r="G736" s="132"/>
      <c r="H736" s="132"/>
      <c r="I736" s="132"/>
      <c r="J736" s="132"/>
    </row>
    <row r="737" spans="1:10" ht="12.75">
      <c r="A737" s="131"/>
      <c r="B737" s="132"/>
      <c r="C737" s="132"/>
      <c r="D737" s="132"/>
      <c r="E737" s="133"/>
      <c r="F737" s="132"/>
      <c r="G737" s="132"/>
      <c r="H737" s="132"/>
      <c r="I737" s="132"/>
      <c r="J737" s="132"/>
    </row>
    <row r="738" spans="1:10" ht="12.75">
      <c r="A738" s="131"/>
      <c r="B738" s="132"/>
      <c r="C738" s="132"/>
      <c r="D738" s="132"/>
      <c r="E738" s="133"/>
      <c r="F738" s="132"/>
      <c r="G738" s="132"/>
      <c r="H738" s="132"/>
      <c r="I738" s="132"/>
      <c r="J738" s="132"/>
    </row>
    <row r="739" spans="1:10" ht="12.75">
      <c r="A739" s="131"/>
      <c r="B739" s="132"/>
      <c r="C739" s="132"/>
      <c r="D739" s="132"/>
      <c r="E739" s="133"/>
      <c r="F739" s="132"/>
      <c r="G739" s="132"/>
      <c r="H739" s="132"/>
      <c r="I739" s="132"/>
      <c r="J739" s="132"/>
    </row>
    <row r="740" spans="1:10" ht="12.75">
      <c r="A740" s="131"/>
      <c r="B740" s="132"/>
      <c r="C740" s="132"/>
      <c r="D740" s="132"/>
      <c r="E740" s="133"/>
      <c r="F740" s="132"/>
      <c r="G740" s="132"/>
      <c r="H740" s="132"/>
      <c r="I740" s="132"/>
      <c r="J740" s="132"/>
    </row>
    <row r="741" spans="1:10" ht="12.75">
      <c r="A741" s="131"/>
      <c r="B741" s="132"/>
      <c r="C741" s="132"/>
      <c r="D741" s="132"/>
      <c r="E741" s="133"/>
      <c r="F741" s="132"/>
      <c r="G741" s="132"/>
      <c r="H741" s="132"/>
      <c r="I741" s="132"/>
      <c r="J741" s="132"/>
    </row>
    <row r="742" spans="1:10" ht="12.75">
      <c r="A742" s="131"/>
      <c r="B742" s="132"/>
      <c r="C742" s="132"/>
      <c r="D742" s="132"/>
      <c r="E742" s="133"/>
      <c r="F742" s="132"/>
      <c r="G742" s="132"/>
      <c r="H742" s="132"/>
      <c r="I742" s="132"/>
      <c r="J742" s="132"/>
    </row>
    <row r="743" spans="1:10" ht="12.75">
      <c r="A743" s="131"/>
      <c r="B743" s="132"/>
      <c r="C743" s="132"/>
      <c r="D743" s="132"/>
      <c r="E743" s="133"/>
      <c r="F743" s="132"/>
      <c r="G743" s="132"/>
      <c r="H743" s="132"/>
      <c r="I743" s="132"/>
      <c r="J743" s="132"/>
    </row>
    <row r="744" spans="1:10" ht="12.75">
      <c r="A744" s="131"/>
      <c r="B744" s="132"/>
      <c r="C744" s="132"/>
      <c r="D744" s="132"/>
      <c r="E744" s="133"/>
      <c r="F744" s="132"/>
      <c r="G744" s="132"/>
      <c r="H744" s="132"/>
      <c r="I744" s="132"/>
      <c r="J744" s="132"/>
    </row>
    <row r="745" spans="1:10" ht="12.75">
      <c r="A745" s="131"/>
      <c r="B745" s="132"/>
      <c r="C745" s="132"/>
      <c r="D745" s="132"/>
      <c r="E745" s="133"/>
      <c r="F745" s="132"/>
      <c r="G745" s="132"/>
      <c r="H745" s="132"/>
      <c r="I745" s="132"/>
      <c r="J745" s="132"/>
    </row>
    <row r="746" spans="1:10" ht="12.75">
      <c r="A746" s="131"/>
      <c r="B746" s="132"/>
      <c r="C746" s="132"/>
      <c r="D746" s="132"/>
      <c r="E746" s="133"/>
      <c r="F746" s="132"/>
      <c r="G746" s="132"/>
      <c r="H746" s="132"/>
      <c r="I746" s="132"/>
      <c r="J746" s="132"/>
    </row>
    <row r="747" spans="1:10" ht="12.75">
      <c r="A747" s="131"/>
      <c r="B747" s="132"/>
      <c r="C747" s="132"/>
      <c r="D747" s="132"/>
      <c r="E747" s="133"/>
      <c r="F747" s="132"/>
      <c r="G747" s="132"/>
      <c r="H747" s="132"/>
      <c r="I747" s="132"/>
      <c r="J747" s="132"/>
    </row>
    <row r="748" spans="1:10" ht="12.75">
      <c r="A748" s="131"/>
      <c r="B748" s="132"/>
      <c r="C748" s="132"/>
      <c r="D748" s="132"/>
      <c r="E748" s="133"/>
      <c r="F748" s="132"/>
      <c r="G748" s="132"/>
      <c r="H748" s="132"/>
      <c r="I748" s="132"/>
      <c r="J748" s="132"/>
    </row>
    <row r="749" spans="1:10" ht="12.75">
      <c r="A749" s="131"/>
      <c r="B749" s="132"/>
      <c r="C749" s="132"/>
      <c r="D749" s="132"/>
      <c r="E749" s="133"/>
      <c r="F749" s="132"/>
      <c r="G749" s="132"/>
      <c r="H749" s="132"/>
      <c r="I749" s="132"/>
      <c r="J749" s="132"/>
    </row>
    <row r="750" spans="1:10" ht="12.75">
      <c r="A750" s="131"/>
      <c r="B750" s="132"/>
      <c r="C750" s="132"/>
      <c r="D750" s="132"/>
      <c r="E750" s="133"/>
      <c r="F750" s="132"/>
      <c r="G750" s="132"/>
      <c r="H750" s="132"/>
      <c r="I750" s="132"/>
      <c r="J750" s="132"/>
    </row>
    <row r="751" spans="1:10" ht="12.75">
      <c r="A751" s="131"/>
      <c r="B751" s="132"/>
      <c r="C751" s="132"/>
      <c r="D751" s="132"/>
      <c r="E751" s="133"/>
      <c r="F751" s="132"/>
      <c r="G751" s="132"/>
      <c r="H751" s="132"/>
      <c r="I751" s="132"/>
      <c r="J751" s="132"/>
    </row>
    <row r="752" spans="1:10" ht="12.75">
      <c r="A752" s="131"/>
      <c r="B752" s="132"/>
      <c r="C752" s="132"/>
      <c r="D752" s="132"/>
      <c r="E752" s="133"/>
      <c r="F752" s="132"/>
      <c r="G752" s="132"/>
      <c r="H752" s="132"/>
      <c r="I752" s="132"/>
      <c r="J752" s="132"/>
    </row>
    <row r="753" spans="1:10" ht="12.75">
      <c r="A753" s="131"/>
      <c r="B753" s="132"/>
      <c r="C753" s="132"/>
      <c r="D753" s="132"/>
      <c r="E753" s="133"/>
      <c r="F753" s="132"/>
      <c r="G753" s="132"/>
      <c r="H753" s="132"/>
      <c r="I753" s="132"/>
      <c r="J753" s="132"/>
    </row>
    <row r="754" spans="1:10" ht="12.75">
      <c r="A754" s="131"/>
      <c r="B754" s="132"/>
      <c r="C754" s="132"/>
      <c r="D754" s="132"/>
      <c r="E754" s="133"/>
      <c r="F754" s="132"/>
      <c r="G754" s="132"/>
      <c r="H754" s="132"/>
      <c r="I754" s="132"/>
      <c r="J754" s="132"/>
    </row>
    <row r="755" spans="1:10" ht="12.75">
      <c r="A755" s="131"/>
      <c r="B755" s="132"/>
      <c r="C755" s="132"/>
      <c r="D755" s="132"/>
      <c r="E755" s="133"/>
      <c r="F755" s="132"/>
      <c r="G755" s="132"/>
      <c r="H755" s="132"/>
      <c r="I755" s="132"/>
      <c r="J755" s="132"/>
    </row>
    <row r="756" spans="1:10" ht="12.75">
      <c r="A756" s="131"/>
      <c r="B756" s="132"/>
      <c r="C756" s="132"/>
      <c r="D756" s="132"/>
      <c r="E756" s="133"/>
      <c r="F756" s="132"/>
      <c r="G756" s="132"/>
      <c r="H756" s="132"/>
      <c r="I756" s="132"/>
      <c r="J756" s="132"/>
    </row>
    <row r="757" spans="1:10" ht="12.75">
      <c r="A757" s="131"/>
      <c r="B757" s="132"/>
      <c r="C757" s="132"/>
      <c r="D757" s="132"/>
      <c r="E757" s="133"/>
      <c r="F757" s="132"/>
      <c r="G757" s="132"/>
      <c r="H757" s="132"/>
      <c r="I757" s="132"/>
      <c r="J757" s="132"/>
    </row>
    <row r="758" spans="1:10" ht="12.75">
      <c r="A758" s="131"/>
      <c r="B758" s="132"/>
      <c r="C758" s="132"/>
      <c r="D758" s="132"/>
      <c r="E758" s="133"/>
      <c r="F758" s="132"/>
      <c r="G758" s="132"/>
      <c r="H758" s="132"/>
      <c r="I758" s="132"/>
      <c r="J758" s="132"/>
    </row>
    <row r="759" spans="1:10" ht="12.75">
      <c r="A759" s="131"/>
      <c r="B759" s="132"/>
      <c r="C759" s="132"/>
      <c r="D759" s="132"/>
      <c r="E759" s="133"/>
      <c r="F759" s="132"/>
      <c r="G759" s="132"/>
      <c r="H759" s="132"/>
      <c r="I759" s="132"/>
      <c r="J759" s="132"/>
    </row>
    <row r="760" spans="1:10" ht="12.75">
      <c r="A760" s="131"/>
      <c r="B760" s="132"/>
      <c r="C760" s="132"/>
      <c r="D760" s="132"/>
      <c r="E760" s="133"/>
      <c r="F760" s="132"/>
      <c r="G760" s="132"/>
      <c r="H760" s="132"/>
      <c r="I760" s="132"/>
      <c r="J760" s="132"/>
    </row>
    <row r="761" spans="1:10" ht="12.75">
      <c r="A761" s="131"/>
      <c r="B761" s="132"/>
      <c r="C761" s="132"/>
      <c r="D761" s="132"/>
      <c r="E761" s="133"/>
      <c r="F761" s="132"/>
      <c r="G761" s="132"/>
      <c r="H761" s="132"/>
      <c r="I761" s="132"/>
      <c r="J761" s="132"/>
    </row>
    <row r="762" spans="1:10" ht="12.75">
      <c r="A762" s="131"/>
      <c r="B762" s="132"/>
      <c r="C762" s="132"/>
      <c r="D762" s="132"/>
      <c r="E762" s="133"/>
      <c r="F762" s="132"/>
      <c r="G762" s="132"/>
      <c r="H762" s="132"/>
      <c r="I762" s="132"/>
      <c r="J762" s="132"/>
    </row>
    <row r="763" spans="1:10" ht="12.75">
      <c r="A763" s="131"/>
      <c r="B763" s="132"/>
      <c r="C763" s="132"/>
      <c r="D763" s="132"/>
      <c r="E763" s="133"/>
      <c r="F763" s="132"/>
      <c r="G763" s="132"/>
      <c r="H763" s="132"/>
      <c r="I763" s="132"/>
      <c r="J763" s="132"/>
    </row>
    <row r="764" spans="1:10" ht="12.75">
      <c r="A764" s="131"/>
      <c r="B764" s="132"/>
      <c r="C764" s="132"/>
      <c r="D764" s="132"/>
      <c r="E764" s="133"/>
      <c r="F764" s="132"/>
      <c r="G764" s="132"/>
      <c r="H764" s="132"/>
      <c r="I764" s="132"/>
      <c r="J764" s="132"/>
    </row>
    <row r="765" spans="1:10" ht="12.75">
      <c r="A765" s="131"/>
      <c r="B765" s="132"/>
      <c r="C765" s="132"/>
      <c r="D765" s="132"/>
      <c r="E765" s="133"/>
      <c r="F765" s="132"/>
      <c r="G765" s="132"/>
      <c r="H765" s="132"/>
      <c r="I765" s="132"/>
      <c r="J765" s="132"/>
    </row>
    <row r="766" spans="1:10" ht="12.75">
      <c r="A766" s="131"/>
      <c r="B766" s="132"/>
      <c r="C766" s="132"/>
      <c r="D766" s="132"/>
      <c r="E766" s="133"/>
      <c r="F766" s="132"/>
      <c r="G766" s="132"/>
      <c r="H766" s="132"/>
      <c r="I766" s="132"/>
      <c r="J766" s="132"/>
    </row>
    <row r="767" spans="1:10" ht="12.75">
      <c r="A767" s="131"/>
      <c r="B767" s="132"/>
      <c r="C767" s="132"/>
      <c r="D767" s="132"/>
      <c r="E767" s="133"/>
      <c r="F767" s="132"/>
      <c r="G767" s="132"/>
      <c r="H767" s="132"/>
      <c r="I767" s="132"/>
      <c r="J767" s="132"/>
    </row>
    <row r="768" spans="1:10" ht="12.75">
      <c r="A768" s="131"/>
      <c r="B768" s="132"/>
      <c r="C768" s="132"/>
      <c r="D768" s="132"/>
      <c r="E768" s="133"/>
      <c r="F768" s="132"/>
      <c r="G768" s="132"/>
      <c r="H768" s="132"/>
      <c r="I768" s="132"/>
      <c r="J768" s="132"/>
    </row>
    <row r="769" spans="1:10" ht="12.75">
      <c r="A769" s="131"/>
      <c r="B769" s="132"/>
      <c r="C769" s="132"/>
      <c r="D769" s="132"/>
      <c r="E769" s="133"/>
      <c r="F769" s="132"/>
      <c r="G769" s="132"/>
      <c r="H769" s="132"/>
      <c r="I769" s="132"/>
      <c r="J769" s="132"/>
    </row>
    <row r="770" spans="1:10" ht="12.75">
      <c r="A770" s="131"/>
      <c r="B770" s="132"/>
      <c r="C770" s="132"/>
      <c r="D770" s="132"/>
      <c r="E770" s="133"/>
      <c r="F770" s="132"/>
      <c r="G770" s="132"/>
      <c r="H770" s="132"/>
      <c r="I770" s="132"/>
      <c r="J770" s="132"/>
    </row>
    <row r="771" spans="1:10" ht="12.75">
      <c r="A771" s="131"/>
      <c r="B771" s="132"/>
      <c r="C771" s="132"/>
      <c r="D771" s="132"/>
      <c r="E771" s="133"/>
      <c r="F771" s="132"/>
      <c r="G771" s="132"/>
      <c r="H771" s="132"/>
      <c r="I771" s="132"/>
      <c r="J771" s="132"/>
    </row>
    <row r="772" spans="1:10" ht="12.75">
      <c r="A772" s="131"/>
      <c r="B772" s="132"/>
      <c r="C772" s="132"/>
      <c r="D772" s="132"/>
      <c r="E772" s="133"/>
      <c r="F772" s="132"/>
      <c r="G772" s="132"/>
      <c r="H772" s="132"/>
      <c r="I772" s="132"/>
      <c r="J772" s="132"/>
    </row>
    <row r="773" spans="1:10" ht="12.75">
      <c r="A773" s="131"/>
      <c r="B773" s="132"/>
      <c r="C773" s="132"/>
      <c r="D773" s="132"/>
      <c r="E773" s="133"/>
      <c r="F773" s="132"/>
      <c r="G773" s="132"/>
      <c r="H773" s="132"/>
      <c r="I773" s="132"/>
      <c r="J773" s="132"/>
    </row>
    <row r="774" spans="1:10" ht="12.75">
      <c r="A774" s="131"/>
      <c r="B774" s="132"/>
      <c r="C774" s="132"/>
      <c r="D774" s="132"/>
      <c r="E774" s="133"/>
      <c r="F774" s="132"/>
      <c r="G774" s="132"/>
      <c r="H774" s="132"/>
      <c r="I774" s="132"/>
      <c r="J774" s="132"/>
    </row>
    <row r="775" spans="1:10" ht="12.75">
      <c r="A775" s="131"/>
      <c r="B775" s="132"/>
      <c r="C775" s="132"/>
      <c r="D775" s="132"/>
      <c r="E775" s="133"/>
      <c r="F775" s="132"/>
      <c r="G775" s="132"/>
      <c r="H775" s="132"/>
      <c r="I775" s="132"/>
      <c r="J775" s="132"/>
    </row>
    <row r="776" spans="1:10" ht="12.75">
      <c r="A776" s="131"/>
      <c r="B776" s="132"/>
      <c r="C776" s="132"/>
      <c r="D776" s="132"/>
      <c r="E776" s="133"/>
      <c r="F776" s="132"/>
      <c r="G776" s="132"/>
      <c r="H776" s="132"/>
      <c r="I776" s="132"/>
      <c r="J776" s="132"/>
    </row>
    <row r="777" spans="1:10" ht="12.75">
      <c r="A777" s="131"/>
      <c r="B777" s="132"/>
      <c r="C777" s="132"/>
      <c r="D777" s="132"/>
      <c r="E777" s="133"/>
      <c r="F777" s="132"/>
      <c r="G777" s="132"/>
      <c r="H777" s="132"/>
      <c r="I777" s="132"/>
      <c r="J777" s="132"/>
    </row>
    <row r="778" spans="1:10" ht="12.75">
      <c r="A778" s="131"/>
      <c r="B778" s="132"/>
      <c r="C778" s="132"/>
      <c r="D778" s="132"/>
      <c r="E778" s="133"/>
      <c r="F778" s="132"/>
      <c r="G778" s="132"/>
      <c r="H778" s="132"/>
      <c r="I778" s="132"/>
      <c r="J778" s="132"/>
    </row>
    <row r="779" spans="1:10" ht="12.75">
      <c r="A779" s="131"/>
      <c r="B779" s="132"/>
      <c r="C779" s="132"/>
      <c r="D779" s="132"/>
      <c r="E779" s="133"/>
      <c r="F779" s="132"/>
      <c r="G779" s="132"/>
      <c r="H779" s="132"/>
      <c r="I779" s="132"/>
      <c r="J779" s="132"/>
    </row>
    <row r="780" spans="1:10" ht="12.75">
      <c r="A780" s="131"/>
      <c r="B780" s="132"/>
      <c r="C780" s="132"/>
      <c r="D780" s="132"/>
      <c r="E780" s="133"/>
      <c r="F780" s="132"/>
      <c r="G780" s="132"/>
      <c r="H780" s="132"/>
      <c r="I780" s="132"/>
      <c r="J780" s="132"/>
    </row>
    <row r="781" spans="1:10" ht="12.75">
      <c r="A781" s="131"/>
      <c r="B781" s="132"/>
      <c r="C781" s="132"/>
      <c r="D781" s="132"/>
      <c r="E781" s="133"/>
      <c r="F781" s="132"/>
      <c r="G781" s="132"/>
      <c r="H781" s="132"/>
      <c r="I781" s="132"/>
      <c r="J781" s="132"/>
    </row>
    <row r="782" spans="1:10" ht="12.75">
      <c r="A782" s="131"/>
      <c r="B782" s="132"/>
      <c r="C782" s="132"/>
      <c r="D782" s="132"/>
      <c r="E782" s="133"/>
      <c r="F782" s="132"/>
      <c r="G782" s="132"/>
      <c r="H782" s="132"/>
      <c r="I782" s="132"/>
      <c r="J782" s="132"/>
    </row>
    <row r="783" spans="1:10" ht="12.75">
      <c r="A783" s="131"/>
      <c r="B783" s="132"/>
      <c r="C783" s="132"/>
      <c r="D783" s="132"/>
      <c r="E783" s="133"/>
      <c r="F783" s="132"/>
      <c r="G783" s="132"/>
      <c r="H783" s="132"/>
      <c r="I783" s="132"/>
      <c r="J783" s="132"/>
    </row>
    <row r="784" spans="1:10" ht="12.75">
      <c r="A784" s="131"/>
      <c r="B784" s="132"/>
      <c r="C784" s="132"/>
      <c r="D784" s="132"/>
      <c r="E784" s="133"/>
      <c r="F784" s="132"/>
      <c r="G784" s="132"/>
      <c r="H784" s="132"/>
      <c r="I784" s="132"/>
      <c r="J784" s="132"/>
    </row>
    <row r="785" spans="1:10" ht="12.75">
      <c r="A785" s="131"/>
      <c r="B785" s="132"/>
      <c r="C785" s="132"/>
      <c r="D785" s="132"/>
      <c r="E785" s="133"/>
      <c r="F785" s="132"/>
      <c r="G785" s="132"/>
      <c r="H785" s="132"/>
      <c r="I785" s="132"/>
      <c r="J785" s="132"/>
    </row>
    <row r="786" spans="1:10" ht="12.75">
      <c r="A786" s="131"/>
      <c r="B786" s="132"/>
      <c r="C786" s="132"/>
      <c r="D786" s="132"/>
      <c r="E786" s="133"/>
      <c r="F786" s="132"/>
      <c r="G786" s="132"/>
      <c r="H786" s="132"/>
      <c r="I786" s="132"/>
      <c r="J786" s="132"/>
    </row>
    <row r="787" spans="1:10" ht="12.75">
      <c r="A787" s="131"/>
      <c r="B787" s="132"/>
      <c r="C787" s="132"/>
      <c r="D787" s="132"/>
      <c r="E787" s="133"/>
      <c r="F787" s="132"/>
      <c r="G787" s="132"/>
      <c r="H787" s="132"/>
      <c r="I787" s="132"/>
      <c r="J787" s="132"/>
    </row>
    <row r="788" spans="1:10" ht="12.75">
      <c r="A788" s="131"/>
      <c r="B788" s="132"/>
      <c r="C788" s="132"/>
      <c r="D788" s="132"/>
      <c r="E788" s="133"/>
      <c r="F788" s="132"/>
      <c r="G788" s="132"/>
      <c r="H788" s="132"/>
      <c r="I788" s="132"/>
      <c r="J788" s="132"/>
    </row>
    <row r="789" spans="1:10" ht="12.75">
      <c r="A789" s="131"/>
      <c r="B789" s="132"/>
      <c r="C789" s="132"/>
      <c r="D789" s="132"/>
      <c r="E789" s="133"/>
      <c r="F789" s="132"/>
      <c r="G789" s="132"/>
      <c r="H789" s="132"/>
      <c r="I789" s="132"/>
      <c r="J789" s="132"/>
    </row>
    <row r="790" spans="1:10" ht="12.75">
      <c r="A790" s="131"/>
      <c r="B790" s="132"/>
      <c r="C790" s="132"/>
      <c r="D790" s="132"/>
      <c r="E790" s="133"/>
      <c r="F790" s="132"/>
      <c r="G790" s="132"/>
      <c r="H790" s="132"/>
      <c r="I790" s="132"/>
      <c r="J790" s="132"/>
    </row>
    <row r="791" spans="1:10" ht="12.75">
      <c r="A791" s="131"/>
      <c r="B791" s="132"/>
      <c r="C791" s="132"/>
      <c r="D791" s="132"/>
      <c r="E791" s="133"/>
      <c r="F791" s="132"/>
      <c r="G791" s="132"/>
      <c r="H791" s="132"/>
      <c r="I791" s="132"/>
      <c r="J791" s="132"/>
    </row>
    <row r="792" spans="1:10" ht="12.75">
      <c r="A792" s="131"/>
      <c r="B792" s="132"/>
      <c r="C792" s="132"/>
      <c r="D792" s="132"/>
      <c r="E792" s="133"/>
      <c r="F792" s="132"/>
      <c r="G792" s="132"/>
      <c r="H792" s="132"/>
      <c r="I792" s="132"/>
      <c r="J792" s="132"/>
    </row>
    <row r="793" spans="1:10" ht="12.75">
      <c r="A793" s="131"/>
      <c r="B793" s="132"/>
      <c r="C793" s="132"/>
      <c r="D793" s="132"/>
      <c r="E793" s="133"/>
      <c r="F793" s="132"/>
      <c r="G793" s="132"/>
      <c r="H793" s="132"/>
      <c r="I793" s="132"/>
      <c r="J793" s="132"/>
    </row>
    <row r="794" spans="1:10" ht="12.75">
      <c r="A794" s="131"/>
      <c r="B794" s="132"/>
      <c r="C794" s="132"/>
      <c r="D794" s="132"/>
      <c r="E794" s="133"/>
      <c r="F794" s="132"/>
      <c r="G794" s="132"/>
      <c r="H794" s="132"/>
      <c r="I794" s="132"/>
      <c r="J794" s="132"/>
    </row>
    <row r="795" spans="1:10" ht="12.75">
      <c r="A795" s="131"/>
      <c r="B795" s="132"/>
      <c r="C795" s="132"/>
      <c r="D795" s="132"/>
      <c r="E795" s="133"/>
      <c r="F795" s="132"/>
      <c r="G795" s="132"/>
      <c r="H795" s="132"/>
      <c r="I795" s="132"/>
      <c r="J795" s="132"/>
    </row>
    <row r="796" spans="1:10" ht="12.75">
      <c r="A796" s="131"/>
      <c r="B796" s="132"/>
      <c r="C796" s="132"/>
      <c r="D796" s="132"/>
      <c r="E796" s="133"/>
      <c r="F796" s="132"/>
      <c r="G796" s="132"/>
      <c r="H796" s="132"/>
      <c r="I796" s="132"/>
      <c r="J796" s="132"/>
    </row>
    <row r="797" spans="1:10" ht="12.75">
      <c r="A797" s="131"/>
      <c r="B797" s="132"/>
      <c r="C797" s="132"/>
      <c r="D797" s="132"/>
      <c r="E797" s="133"/>
      <c r="F797" s="132"/>
      <c r="G797" s="132"/>
      <c r="H797" s="132"/>
      <c r="I797" s="132"/>
      <c r="J797" s="132"/>
    </row>
    <row r="798" spans="1:10" ht="12.75">
      <c r="A798" s="131"/>
      <c r="B798" s="132"/>
      <c r="C798" s="132"/>
      <c r="D798" s="132"/>
      <c r="E798" s="133"/>
      <c r="F798" s="132"/>
      <c r="G798" s="132"/>
      <c r="H798" s="132"/>
      <c r="I798" s="132"/>
      <c r="J798" s="132"/>
    </row>
    <row r="799" spans="1:10" ht="12.75">
      <c r="A799" s="131"/>
      <c r="B799" s="132"/>
      <c r="C799" s="132"/>
      <c r="D799" s="132"/>
      <c r="E799" s="133"/>
      <c r="F799" s="132"/>
      <c r="G799" s="132"/>
      <c r="H799" s="132"/>
      <c r="I799" s="132"/>
      <c r="J799" s="132"/>
    </row>
    <row r="800" spans="1:10" ht="12.75">
      <c r="A800" s="131"/>
      <c r="B800" s="132"/>
      <c r="C800" s="132"/>
      <c r="D800" s="132"/>
      <c r="E800" s="133"/>
      <c r="F800" s="132"/>
      <c r="G800" s="132"/>
      <c r="H800" s="132"/>
      <c r="I800" s="132"/>
      <c r="J800" s="132"/>
    </row>
    <row r="801" spans="1:10" ht="12.75">
      <c r="A801" s="131"/>
      <c r="B801" s="132"/>
      <c r="C801" s="132"/>
      <c r="D801" s="132"/>
      <c r="E801" s="133"/>
      <c r="F801" s="132"/>
      <c r="G801" s="132"/>
      <c r="H801" s="132"/>
      <c r="I801" s="132"/>
      <c r="J801" s="132"/>
    </row>
    <row r="802" spans="1:10" ht="12.75">
      <c r="A802" s="131"/>
      <c r="B802" s="132"/>
      <c r="C802" s="132"/>
      <c r="D802" s="132"/>
      <c r="E802" s="133"/>
      <c r="F802" s="132"/>
      <c r="G802" s="132"/>
      <c r="H802" s="132"/>
      <c r="I802" s="132"/>
      <c r="J802" s="132"/>
    </row>
    <row r="803" spans="1:10" ht="12.75">
      <c r="A803" s="131"/>
      <c r="B803" s="132"/>
      <c r="C803" s="132"/>
      <c r="D803" s="132"/>
      <c r="E803" s="133"/>
      <c r="F803" s="132"/>
      <c r="G803" s="132"/>
      <c r="H803" s="132"/>
      <c r="I803" s="132"/>
      <c r="J803" s="132"/>
    </row>
    <row r="804" spans="1:10" ht="12.75">
      <c r="A804" s="131"/>
      <c r="B804" s="132"/>
      <c r="C804" s="132"/>
      <c r="D804" s="132"/>
      <c r="E804" s="133"/>
      <c r="F804" s="132"/>
      <c r="G804" s="132"/>
      <c r="H804" s="132"/>
      <c r="I804" s="132"/>
      <c r="J804" s="132"/>
    </row>
    <row r="805" spans="1:10" ht="12.75">
      <c r="A805" s="131"/>
      <c r="B805" s="132"/>
      <c r="C805" s="132"/>
      <c r="D805" s="132"/>
      <c r="E805" s="133"/>
      <c r="F805" s="132"/>
      <c r="G805" s="132"/>
      <c r="H805" s="132"/>
      <c r="I805" s="132"/>
      <c r="J805" s="132"/>
    </row>
    <row r="806" spans="1:10" ht="12.75">
      <c r="A806" s="131"/>
      <c r="B806" s="132"/>
      <c r="C806" s="132"/>
      <c r="D806" s="132"/>
      <c r="E806" s="133"/>
      <c r="F806" s="132"/>
      <c r="G806" s="132"/>
      <c r="H806" s="132"/>
      <c r="I806" s="132"/>
      <c r="J806" s="132"/>
    </row>
    <row r="807" spans="1:10" ht="12.75">
      <c r="A807" s="131"/>
      <c r="B807" s="132"/>
      <c r="C807" s="132"/>
      <c r="D807" s="132"/>
      <c r="E807" s="133"/>
      <c r="F807" s="132"/>
      <c r="G807" s="132"/>
      <c r="H807" s="132"/>
      <c r="I807" s="132"/>
      <c r="J807" s="132"/>
    </row>
    <row r="808" spans="1:10" ht="12.75">
      <c r="A808" s="131"/>
      <c r="B808" s="132"/>
      <c r="C808" s="132"/>
      <c r="D808" s="132"/>
      <c r="E808" s="133"/>
      <c r="F808" s="132"/>
      <c r="G808" s="132"/>
      <c r="H808" s="132"/>
      <c r="I808" s="132"/>
      <c r="J808" s="132"/>
    </row>
    <row r="809" spans="1:10" ht="12.75">
      <c r="A809" s="131"/>
      <c r="B809" s="132"/>
      <c r="C809" s="132"/>
      <c r="D809" s="132"/>
      <c r="E809" s="133"/>
      <c r="F809" s="132"/>
      <c r="G809" s="132"/>
      <c r="H809" s="132"/>
      <c r="I809" s="132"/>
      <c r="J809" s="132"/>
    </row>
    <row r="810" spans="1:10" ht="12.75">
      <c r="A810" s="131"/>
      <c r="B810" s="132"/>
      <c r="C810" s="132"/>
      <c r="D810" s="132"/>
      <c r="E810" s="133"/>
      <c r="F810" s="132"/>
      <c r="G810" s="132"/>
      <c r="H810" s="132"/>
      <c r="I810" s="132"/>
      <c r="J810" s="132"/>
    </row>
    <row r="811" spans="1:10" ht="12.75">
      <c r="A811" s="131"/>
      <c r="B811" s="132"/>
      <c r="C811" s="132"/>
      <c r="D811" s="132"/>
      <c r="E811" s="133"/>
      <c r="F811" s="132"/>
      <c r="G811" s="132"/>
      <c r="H811" s="132"/>
      <c r="I811" s="132"/>
      <c r="J811" s="132"/>
    </row>
    <row r="812" spans="1:10" ht="12.75">
      <c r="A812" s="131"/>
      <c r="B812" s="132"/>
      <c r="C812" s="132"/>
      <c r="D812" s="132"/>
      <c r="E812" s="133"/>
      <c r="F812" s="132"/>
      <c r="G812" s="132"/>
      <c r="H812" s="132"/>
      <c r="I812" s="132"/>
      <c r="J812" s="132"/>
    </row>
    <row r="813" spans="1:10" ht="12.75">
      <c r="A813" s="131"/>
      <c r="B813" s="132"/>
      <c r="C813" s="132"/>
      <c r="D813" s="132"/>
      <c r="E813" s="133"/>
      <c r="F813" s="132"/>
      <c r="G813" s="132"/>
      <c r="H813" s="132"/>
      <c r="I813" s="132"/>
      <c r="J813" s="132"/>
    </row>
    <row r="814" spans="1:10" ht="12.75">
      <c r="A814" s="131"/>
      <c r="B814" s="132"/>
      <c r="C814" s="132"/>
      <c r="D814" s="132"/>
      <c r="E814" s="133"/>
      <c r="F814" s="132"/>
      <c r="G814" s="132"/>
      <c r="H814" s="132"/>
      <c r="I814" s="132"/>
      <c r="J814" s="132"/>
    </row>
    <row r="815" spans="1:10" ht="12.75">
      <c r="A815" s="131"/>
      <c r="B815" s="132"/>
      <c r="C815" s="132"/>
      <c r="D815" s="132"/>
      <c r="E815" s="133"/>
      <c r="F815" s="132"/>
      <c r="G815" s="132"/>
      <c r="H815" s="132"/>
      <c r="I815" s="132"/>
      <c r="J815" s="132"/>
    </row>
    <row r="816" spans="1:10" ht="12.75">
      <c r="A816" s="131"/>
      <c r="B816" s="132"/>
      <c r="C816" s="132"/>
      <c r="D816" s="132"/>
      <c r="E816" s="133"/>
      <c r="F816" s="132"/>
      <c r="G816" s="132"/>
      <c r="H816" s="132"/>
      <c r="I816" s="132"/>
      <c r="J816" s="132"/>
    </row>
    <row r="817" spans="1:10" ht="12.75">
      <c r="A817" s="131"/>
      <c r="B817" s="132"/>
      <c r="C817" s="132"/>
      <c r="D817" s="132"/>
      <c r="E817" s="133"/>
      <c r="F817" s="132"/>
      <c r="G817" s="132"/>
      <c r="H817" s="132"/>
      <c r="I817" s="132"/>
      <c r="J817" s="132"/>
    </row>
    <row r="818" spans="1:10" ht="12.75">
      <c r="A818" s="131"/>
      <c r="B818" s="132"/>
      <c r="C818" s="132"/>
      <c r="D818" s="132"/>
      <c r="E818" s="133"/>
      <c r="F818" s="132"/>
      <c r="G818" s="132"/>
      <c r="H818" s="132"/>
      <c r="I818" s="132"/>
      <c r="J818" s="132"/>
    </row>
    <row r="819" spans="1:10" ht="12.75">
      <c r="A819" s="131"/>
      <c r="B819" s="132"/>
      <c r="C819" s="132"/>
      <c r="D819" s="132"/>
      <c r="E819" s="133"/>
      <c r="F819" s="132"/>
      <c r="G819" s="132"/>
      <c r="H819" s="132"/>
      <c r="I819" s="132"/>
      <c r="J819" s="132"/>
    </row>
    <row r="820" spans="1:10" ht="12.75">
      <c r="A820" s="131"/>
      <c r="B820" s="132"/>
      <c r="C820" s="132"/>
      <c r="D820" s="132"/>
      <c r="E820" s="133"/>
      <c r="F820" s="132"/>
      <c r="G820" s="132"/>
      <c r="H820" s="132"/>
      <c r="I820" s="132"/>
      <c r="J820" s="132"/>
    </row>
    <row r="821" spans="1:10" ht="12.75">
      <c r="A821" s="131"/>
      <c r="B821" s="132"/>
      <c r="C821" s="132"/>
      <c r="D821" s="132"/>
      <c r="E821" s="133"/>
      <c r="F821" s="132"/>
      <c r="G821" s="132"/>
      <c r="H821" s="132"/>
      <c r="I821" s="132"/>
      <c r="J821" s="132"/>
    </row>
    <row r="822" spans="1:10" ht="12.75">
      <c r="A822" s="131"/>
      <c r="B822" s="132"/>
      <c r="C822" s="132"/>
      <c r="D822" s="132"/>
      <c r="E822" s="133"/>
      <c r="F822" s="132"/>
      <c r="G822" s="132"/>
      <c r="H822" s="132"/>
      <c r="I822" s="132"/>
      <c r="J822" s="132"/>
    </row>
    <row r="823" spans="1:10" ht="12.75">
      <c r="A823" s="131"/>
      <c r="B823" s="132"/>
      <c r="C823" s="132"/>
      <c r="D823" s="132"/>
      <c r="E823" s="133"/>
      <c r="F823" s="132"/>
      <c r="G823" s="132"/>
      <c r="H823" s="132"/>
      <c r="I823" s="132"/>
      <c r="J823" s="132"/>
    </row>
    <row r="824" spans="1:10" ht="12.75">
      <c r="A824" s="131"/>
      <c r="B824" s="132"/>
      <c r="C824" s="132"/>
      <c r="D824" s="132"/>
      <c r="E824" s="133"/>
      <c r="F824" s="132"/>
      <c r="G824" s="132"/>
      <c r="H824" s="132"/>
      <c r="I824" s="132"/>
      <c r="J824" s="132"/>
    </row>
    <row r="825" spans="1:10" ht="12.75">
      <c r="A825" s="131"/>
      <c r="B825" s="132"/>
      <c r="C825" s="132"/>
      <c r="D825" s="132"/>
      <c r="E825" s="133"/>
      <c r="F825" s="132"/>
      <c r="G825" s="132"/>
      <c r="H825" s="132"/>
      <c r="I825" s="132"/>
      <c r="J825" s="132"/>
    </row>
    <row r="826" spans="1:10" ht="12.75">
      <c r="A826" s="131"/>
      <c r="B826" s="132"/>
      <c r="C826" s="132"/>
      <c r="D826" s="132"/>
      <c r="E826" s="133"/>
      <c r="F826" s="132"/>
      <c r="G826" s="132"/>
      <c r="H826" s="132"/>
      <c r="I826" s="132"/>
      <c r="J826" s="132"/>
    </row>
    <row r="827" spans="1:10" ht="12.75">
      <c r="A827" s="131"/>
      <c r="B827" s="132"/>
      <c r="C827" s="132"/>
      <c r="D827" s="132"/>
      <c r="E827" s="133"/>
      <c r="F827" s="132"/>
      <c r="G827" s="132"/>
      <c r="H827" s="132"/>
      <c r="I827" s="132"/>
      <c r="J827" s="132"/>
    </row>
    <row r="828" spans="1:10" ht="12.75">
      <c r="A828" s="131"/>
      <c r="B828" s="132"/>
      <c r="C828" s="132"/>
      <c r="D828" s="132"/>
      <c r="E828" s="133"/>
      <c r="F828" s="132"/>
      <c r="G828" s="132"/>
      <c r="H828" s="132"/>
      <c r="I828" s="132"/>
      <c r="J828" s="132"/>
    </row>
    <row r="829" spans="1:10" ht="12.75">
      <c r="A829" s="131"/>
      <c r="B829" s="132"/>
      <c r="C829" s="132"/>
      <c r="D829" s="132"/>
      <c r="E829" s="133"/>
      <c r="F829" s="132"/>
      <c r="G829" s="132"/>
      <c r="H829" s="132"/>
      <c r="I829" s="132"/>
      <c r="J829" s="132"/>
    </row>
    <row r="830" spans="1:10" ht="12.75">
      <c r="A830" s="131"/>
      <c r="B830" s="132"/>
      <c r="C830" s="132"/>
      <c r="D830" s="132"/>
      <c r="E830" s="133"/>
      <c r="F830" s="132"/>
      <c r="G830" s="132"/>
      <c r="H830" s="132"/>
      <c r="I830" s="132"/>
      <c r="J830" s="132"/>
    </row>
    <row r="831" spans="1:10" ht="12.75">
      <c r="A831" s="131"/>
      <c r="B831" s="132"/>
      <c r="C831" s="132"/>
      <c r="D831" s="132"/>
      <c r="E831" s="133"/>
      <c r="F831" s="132"/>
      <c r="G831" s="132"/>
      <c r="H831" s="132"/>
      <c r="I831" s="132"/>
      <c r="J831" s="132"/>
    </row>
    <row r="832" spans="1:10" ht="12.75">
      <c r="A832" s="131"/>
      <c r="B832" s="132"/>
      <c r="C832" s="132"/>
      <c r="D832" s="132"/>
      <c r="E832" s="133"/>
      <c r="F832" s="132"/>
      <c r="G832" s="132"/>
      <c r="H832" s="132"/>
      <c r="I832" s="132"/>
      <c r="J832" s="132"/>
    </row>
    <row r="833" spans="1:10" ht="12.75">
      <c r="A833" s="131"/>
      <c r="B833" s="132"/>
      <c r="C833" s="132"/>
      <c r="D833" s="132"/>
      <c r="E833" s="133"/>
      <c r="F833" s="132"/>
      <c r="G833" s="132"/>
      <c r="H833" s="132"/>
      <c r="I833" s="132"/>
      <c r="J833" s="132"/>
    </row>
    <row r="834" spans="1:10" ht="12.75">
      <c r="A834" s="131"/>
      <c r="B834" s="132"/>
      <c r="C834" s="132"/>
      <c r="D834" s="132"/>
      <c r="E834" s="133"/>
      <c r="F834" s="132"/>
      <c r="G834" s="132"/>
      <c r="H834" s="132"/>
      <c r="I834" s="132"/>
      <c r="J834" s="132"/>
    </row>
    <row r="835" spans="1:10" ht="12.75">
      <c r="A835" s="131"/>
      <c r="B835" s="132"/>
      <c r="C835" s="132"/>
      <c r="D835" s="132"/>
      <c r="E835" s="133"/>
      <c r="F835" s="132"/>
      <c r="G835" s="132"/>
      <c r="H835" s="132"/>
      <c r="I835" s="132"/>
      <c r="J835" s="132"/>
    </row>
    <row r="836" spans="1:10" ht="12.75">
      <c r="A836" s="131"/>
      <c r="B836" s="132"/>
      <c r="C836" s="132"/>
      <c r="D836" s="132"/>
      <c r="E836" s="133"/>
      <c r="F836" s="132"/>
      <c r="G836" s="132"/>
      <c r="H836" s="132"/>
      <c r="I836" s="132"/>
      <c r="J836" s="132"/>
    </row>
    <row r="837" spans="1:10" ht="12.75">
      <c r="A837" s="131"/>
      <c r="B837" s="132"/>
      <c r="C837" s="132"/>
      <c r="D837" s="132"/>
      <c r="E837" s="133"/>
      <c r="F837" s="132"/>
      <c r="G837" s="132"/>
      <c r="H837" s="132"/>
      <c r="I837" s="132"/>
      <c r="J837" s="132"/>
    </row>
    <row r="838" spans="1:10" ht="12.75">
      <c r="A838" s="131"/>
      <c r="B838" s="132"/>
      <c r="C838" s="132"/>
      <c r="D838" s="132"/>
      <c r="E838" s="133"/>
      <c r="F838" s="132"/>
      <c r="G838" s="132"/>
      <c r="H838" s="132"/>
      <c r="I838" s="132"/>
      <c r="J838" s="132"/>
    </row>
    <row r="839" spans="1:10" ht="12.75">
      <c r="A839" s="131"/>
      <c r="B839" s="132"/>
      <c r="C839" s="132"/>
      <c r="D839" s="132"/>
      <c r="E839" s="133"/>
      <c r="F839" s="132"/>
      <c r="G839" s="132"/>
      <c r="H839" s="132"/>
      <c r="I839" s="132"/>
      <c r="J839" s="132"/>
    </row>
    <row r="840" spans="1:10" ht="12.75">
      <c r="A840" s="131"/>
      <c r="B840" s="132"/>
      <c r="C840" s="132"/>
      <c r="D840" s="132"/>
      <c r="E840" s="133"/>
      <c r="F840" s="132"/>
      <c r="G840" s="132"/>
      <c r="H840" s="132"/>
      <c r="I840" s="132"/>
      <c r="J840" s="132"/>
    </row>
    <row r="841" spans="1:10" ht="12.75">
      <c r="A841" s="131"/>
      <c r="B841" s="132"/>
      <c r="C841" s="132"/>
      <c r="D841" s="132"/>
      <c r="E841" s="133"/>
      <c r="F841" s="132"/>
      <c r="G841" s="132"/>
      <c r="H841" s="132"/>
      <c r="I841" s="132"/>
      <c r="J841" s="132"/>
    </row>
    <row r="842" spans="1:10" ht="12.75">
      <c r="A842" s="131"/>
      <c r="B842" s="132"/>
      <c r="C842" s="132"/>
      <c r="D842" s="132"/>
      <c r="E842" s="133"/>
      <c r="F842" s="132"/>
      <c r="G842" s="132"/>
      <c r="H842" s="132"/>
      <c r="I842" s="132"/>
      <c r="J842" s="132"/>
    </row>
    <row r="843" spans="1:10" ht="12.75">
      <c r="A843" s="131"/>
      <c r="B843" s="132"/>
      <c r="C843" s="132"/>
      <c r="D843" s="132"/>
      <c r="E843" s="133"/>
      <c r="F843" s="132"/>
      <c r="G843" s="132"/>
      <c r="H843" s="132"/>
      <c r="I843" s="132"/>
      <c r="J843" s="132"/>
    </row>
    <row r="844" spans="1:10" ht="12.75">
      <c r="A844" s="131"/>
      <c r="B844" s="132"/>
      <c r="C844" s="132"/>
      <c r="D844" s="132"/>
      <c r="E844" s="133"/>
      <c r="F844" s="132"/>
      <c r="G844" s="132"/>
      <c r="H844" s="132"/>
      <c r="I844" s="132"/>
      <c r="J844" s="132"/>
    </row>
    <row r="845" spans="1:10" ht="12.75">
      <c r="A845" s="131"/>
      <c r="B845" s="132"/>
      <c r="C845" s="132"/>
      <c r="D845" s="132"/>
      <c r="E845" s="133"/>
      <c r="F845" s="132"/>
      <c r="G845" s="132"/>
      <c r="H845" s="132"/>
      <c r="I845" s="132"/>
      <c r="J845" s="132"/>
    </row>
    <row r="846" spans="1:10" ht="12.75">
      <c r="A846" s="131"/>
      <c r="B846" s="132"/>
      <c r="C846" s="132"/>
      <c r="D846" s="132"/>
      <c r="E846" s="133"/>
      <c r="F846" s="132"/>
      <c r="G846" s="132"/>
      <c r="H846" s="132"/>
      <c r="I846" s="132"/>
      <c r="J846" s="132"/>
    </row>
    <row r="847" spans="1:10" ht="12.75">
      <c r="A847" s="131"/>
      <c r="B847" s="132"/>
      <c r="C847" s="132"/>
      <c r="D847" s="132"/>
      <c r="E847" s="133"/>
      <c r="F847" s="132"/>
      <c r="G847" s="132"/>
      <c r="H847" s="132"/>
      <c r="I847" s="132"/>
      <c r="J847" s="132"/>
    </row>
    <row r="848" spans="1:10" ht="12.75">
      <c r="A848" s="131"/>
      <c r="B848" s="132"/>
      <c r="C848" s="132"/>
      <c r="D848" s="132"/>
      <c r="E848" s="133"/>
      <c r="F848" s="132"/>
      <c r="G848" s="132"/>
      <c r="H848" s="132"/>
      <c r="I848" s="132"/>
      <c r="J848" s="132"/>
    </row>
    <row r="849" spans="1:10" ht="12.75">
      <c r="A849" s="131"/>
      <c r="B849" s="132"/>
      <c r="C849" s="132"/>
      <c r="D849" s="132"/>
      <c r="E849" s="133"/>
      <c r="F849" s="132"/>
      <c r="G849" s="132"/>
      <c r="H849" s="132"/>
      <c r="I849" s="132"/>
      <c r="J849" s="132"/>
    </row>
    <row r="850" spans="1:10" ht="12.75">
      <c r="A850" s="131"/>
      <c r="B850" s="132"/>
      <c r="C850" s="132"/>
      <c r="D850" s="132"/>
      <c r="E850" s="133"/>
      <c r="F850" s="132"/>
      <c r="G850" s="132"/>
      <c r="H850" s="132"/>
      <c r="I850" s="132"/>
      <c r="J850" s="132"/>
    </row>
    <row r="851" spans="1:10" ht="12.75">
      <c r="A851" s="131"/>
      <c r="B851" s="132"/>
      <c r="C851" s="132"/>
      <c r="D851" s="132"/>
      <c r="E851" s="133"/>
      <c r="F851" s="132"/>
      <c r="G851" s="132"/>
      <c r="H851" s="132"/>
      <c r="I851" s="132"/>
      <c r="J851" s="132"/>
    </row>
    <row r="852" spans="1:10" ht="12.75">
      <c r="A852" s="131"/>
      <c r="B852" s="132"/>
      <c r="C852" s="132"/>
      <c r="D852" s="132"/>
      <c r="E852" s="133"/>
      <c r="F852" s="132"/>
      <c r="G852" s="132"/>
      <c r="H852" s="132"/>
      <c r="I852" s="132"/>
      <c r="J852" s="132"/>
    </row>
    <row r="853" spans="1:10" ht="12.75">
      <c r="A853" s="131"/>
      <c r="B853" s="132"/>
      <c r="C853" s="132"/>
      <c r="D853" s="132"/>
      <c r="E853" s="133"/>
      <c r="F853" s="132"/>
      <c r="G853" s="132"/>
      <c r="H853" s="132"/>
      <c r="I853" s="132"/>
      <c r="J853" s="132"/>
    </row>
    <row r="854" spans="1:10" ht="12.75">
      <c r="A854" s="131"/>
      <c r="B854" s="132"/>
      <c r="C854" s="132"/>
      <c r="D854" s="132"/>
      <c r="E854" s="133"/>
      <c r="F854" s="132"/>
      <c r="G854" s="132"/>
      <c r="H854" s="132"/>
      <c r="I854" s="132"/>
      <c r="J854" s="132"/>
    </row>
    <row r="855" spans="1:10" ht="12.75">
      <c r="A855" s="131"/>
      <c r="B855" s="132"/>
      <c r="C855" s="132"/>
      <c r="D855" s="132"/>
      <c r="E855" s="133"/>
      <c r="F855" s="132"/>
      <c r="G855" s="132"/>
      <c r="H855" s="132"/>
      <c r="I855" s="132"/>
      <c r="J855" s="132"/>
    </row>
    <row r="856" spans="1:10" ht="12.75">
      <c r="A856" s="131"/>
      <c r="B856" s="132"/>
      <c r="C856" s="132"/>
      <c r="D856" s="132"/>
      <c r="E856" s="133"/>
      <c r="F856" s="132"/>
      <c r="G856" s="132"/>
      <c r="H856" s="132"/>
      <c r="I856" s="132"/>
      <c r="J856" s="132"/>
    </row>
    <row r="857" spans="1:10" ht="12.75">
      <c r="A857" s="131"/>
      <c r="B857" s="132"/>
      <c r="C857" s="132"/>
      <c r="D857" s="132"/>
      <c r="E857" s="133"/>
      <c r="F857" s="132"/>
      <c r="G857" s="132"/>
      <c r="H857" s="132"/>
      <c r="I857" s="132"/>
      <c r="J857" s="132"/>
    </row>
    <row r="858" spans="1:10" ht="12.75">
      <c r="A858" s="131"/>
      <c r="B858" s="132"/>
      <c r="C858" s="132"/>
      <c r="D858" s="132"/>
      <c r="E858" s="133"/>
      <c r="F858" s="132"/>
      <c r="G858" s="132"/>
      <c r="H858" s="132"/>
      <c r="I858" s="132"/>
      <c r="J858" s="132"/>
    </row>
    <row r="859" spans="1:10" ht="12.75">
      <c r="A859" s="131"/>
      <c r="B859" s="132"/>
      <c r="C859" s="132"/>
      <c r="D859" s="132"/>
      <c r="E859" s="133"/>
      <c r="F859" s="132"/>
      <c r="G859" s="132"/>
      <c r="H859" s="132"/>
      <c r="I859" s="132"/>
      <c r="J859" s="132"/>
    </row>
    <row r="860" spans="1:10" ht="12.75">
      <c r="A860" s="131"/>
      <c r="B860" s="132"/>
      <c r="C860" s="132"/>
      <c r="D860" s="132"/>
      <c r="E860" s="133"/>
      <c r="F860" s="132"/>
      <c r="G860" s="132"/>
      <c r="H860" s="132"/>
      <c r="I860" s="132"/>
      <c r="J860" s="132"/>
    </row>
    <row r="861" spans="1:10" ht="12.75">
      <c r="A861" s="131"/>
      <c r="B861" s="132"/>
      <c r="C861" s="132"/>
      <c r="D861" s="132"/>
      <c r="E861" s="133"/>
      <c r="F861" s="132"/>
      <c r="G861" s="132"/>
      <c r="H861" s="132"/>
      <c r="I861" s="132"/>
      <c r="J861" s="132"/>
    </row>
    <row r="862" spans="1:10" ht="12.75">
      <c r="A862" s="131"/>
      <c r="B862" s="132"/>
      <c r="C862" s="132"/>
      <c r="D862" s="132"/>
      <c r="E862" s="133"/>
      <c r="F862" s="132"/>
      <c r="G862" s="132"/>
      <c r="H862" s="132"/>
      <c r="I862" s="132"/>
      <c r="J862" s="132"/>
    </row>
    <row r="863" spans="1:10" ht="12.75">
      <c r="A863" s="131"/>
      <c r="B863" s="132"/>
      <c r="C863" s="132"/>
      <c r="D863" s="132"/>
      <c r="E863" s="133"/>
      <c r="F863" s="132"/>
      <c r="G863" s="132"/>
      <c r="H863" s="132"/>
      <c r="I863" s="132"/>
      <c r="J863" s="132"/>
    </row>
    <row r="864" spans="1:10" ht="12.75">
      <c r="A864" s="131"/>
      <c r="B864" s="132"/>
      <c r="C864" s="132"/>
      <c r="D864" s="132"/>
      <c r="E864" s="133"/>
      <c r="F864" s="132"/>
      <c r="G864" s="132"/>
      <c r="H864" s="132"/>
      <c r="I864" s="132"/>
      <c r="J864" s="132"/>
    </row>
    <row r="865" spans="1:10" ht="12.75">
      <c r="A865" s="131"/>
      <c r="B865" s="132"/>
      <c r="C865" s="132"/>
      <c r="D865" s="132"/>
      <c r="E865" s="133"/>
      <c r="F865" s="132"/>
      <c r="G865" s="132"/>
      <c r="H865" s="132"/>
      <c r="I865" s="132"/>
      <c r="J865" s="132"/>
    </row>
    <row r="866" spans="1:10" ht="12.75">
      <c r="A866" s="131"/>
      <c r="B866" s="132"/>
      <c r="C866" s="132"/>
      <c r="D866" s="132"/>
      <c r="E866" s="133"/>
      <c r="F866" s="132"/>
      <c r="G866" s="132"/>
      <c r="H866" s="132"/>
      <c r="I866" s="132"/>
      <c r="J866" s="132"/>
    </row>
    <row r="867" spans="1:10" ht="12.75">
      <c r="A867" s="131"/>
      <c r="B867" s="132"/>
      <c r="C867" s="132"/>
      <c r="D867" s="132"/>
      <c r="E867" s="133"/>
      <c r="F867" s="132"/>
      <c r="G867" s="132"/>
      <c r="H867" s="132"/>
      <c r="I867" s="132"/>
      <c r="J867" s="132"/>
    </row>
    <row r="868" spans="1:10" ht="12.75">
      <c r="A868" s="131"/>
      <c r="B868" s="132"/>
      <c r="C868" s="132"/>
      <c r="D868" s="132"/>
      <c r="E868" s="133"/>
      <c r="F868" s="132"/>
      <c r="G868" s="132"/>
      <c r="H868" s="132"/>
      <c r="I868" s="132"/>
      <c r="J868" s="132"/>
    </row>
    <row r="869" spans="1:10" ht="12.75">
      <c r="A869" s="131"/>
      <c r="B869" s="132"/>
      <c r="C869" s="132"/>
      <c r="D869" s="132"/>
      <c r="E869" s="133"/>
      <c r="F869" s="132"/>
      <c r="G869" s="132"/>
      <c r="H869" s="132"/>
      <c r="I869" s="132"/>
      <c r="J869" s="132"/>
    </row>
    <row r="870" spans="1:10" ht="12.75">
      <c r="A870" s="131"/>
      <c r="B870" s="132"/>
      <c r="C870" s="132"/>
      <c r="D870" s="132"/>
      <c r="E870" s="133"/>
      <c r="F870" s="132"/>
      <c r="G870" s="132"/>
      <c r="H870" s="132"/>
      <c r="I870" s="132"/>
      <c r="J870" s="132"/>
    </row>
    <row r="871" spans="1:10" ht="12.75">
      <c r="A871" s="131"/>
      <c r="B871" s="132"/>
      <c r="C871" s="132"/>
      <c r="D871" s="132"/>
      <c r="E871" s="133"/>
      <c r="F871" s="132"/>
      <c r="G871" s="132"/>
      <c r="H871" s="132"/>
      <c r="I871" s="132"/>
      <c r="J871" s="132"/>
    </row>
    <row r="872" spans="1:10" ht="12.75">
      <c r="A872" s="131"/>
      <c r="B872" s="132"/>
      <c r="C872" s="132"/>
      <c r="D872" s="132"/>
      <c r="E872" s="133"/>
      <c r="F872" s="132"/>
      <c r="G872" s="132"/>
      <c r="H872" s="132"/>
      <c r="I872" s="132"/>
      <c r="J872" s="132"/>
    </row>
    <row r="873" spans="1:10" ht="12.75">
      <c r="A873" s="131"/>
      <c r="B873" s="132"/>
      <c r="C873" s="132"/>
      <c r="D873" s="132"/>
      <c r="E873" s="133"/>
      <c r="F873" s="132"/>
      <c r="G873" s="132"/>
      <c r="H873" s="132"/>
      <c r="I873" s="132"/>
      <c r="J873" s="132"/>
    </row>
  </sheetData>
  <sheetProtection/>
  <mergeCells count="10">
    <mergeCell ref="C85:G86"/>
    <mergeCell ref="AZ4:BA4"/>
    <mergeCell ref="BB78:BC86"/>
    <mergeCell ref="A1:B1"/>
    <mergeCell ref="A2:B2"/>
    <mergeCell ref="C1:R1"/>
    <mergeCell ref="AI4:AL4"/>
    <mergeCell ref="N79:O79"/>
    <mergeCell ref="A3:B3"/>
    <mergeCell ref="AM4:AP4"/>
  </mergeCells>
  <printOptions horizontalCentered="1"/>
  <pageMargins left="0.2" right="0" top="1.37" bottom="0.42" header="0.6" footer="0.16"/>
  <pageSetup firstPageNumber="4" useFirstPageNumber="1" fitToWidth="14" horizontalDpi="600" verticalDpi="600" orientation="portrait" paperSize="5" scale="82" r:id="rId1"/>
  <headerFooter alignWithMargins="0">
    <oddHeader>&amp;L&amp;"Arial,Bold"&amp;16TABLE 3: FY2009-2010 Budget Letter &amp;20
&amp;16LEVEL 1 BASE PER PUPIL AND LEVEL 2 LOCAL INCENTIVE</oddHeader>
    <oddFooter>&amp;R&amp;12&amp;P</oddFooter>
  </headerFooter>
  <colBreaks count="10" manualBreakCount="10">
    <brk id="7" min="3" max="82" man="1"/>
    <brk id="11" min="3" max="82" man="1"/>
    <brk id="15" min="3" max="82" man="1"/>
    <brk id="20" min="3" max="82" man="1"/>
    <brk id="27" min="3" max="82" man="1"/>
    <brk id="34" min="3" max="82" man="1"/>
    <brk id="38" min="3" max="82" man="1"/>
    <brk id="44" min="3" max="82" man="1"/>
    <brk id="51" min="3" max="82" man="1"/>
    <brk id="53" min="3" max="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G96"/>
  <sheetViews>
    <sheetView zoomScale="85" zoomScaleNormal="85" zoomScaleSheetLayoutView="75" zoomScalePageLayoutView="0" workbookViewId="0" topLeftCell="A2">
      <pane xSplit="2" ySplit="4" topLeftCell="C6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A77" sqref="A77:IV83"/>
    </sheetView>
  </sheetViews>
  <sheetFormatPr defaultColWidth="12.57421875" defaultRowHeight="12.75"/>
  <cols>
    <col min="1" max="1" width="4.28125" style="2" customWidth="1"/>
    <col min="2" max="2" width="17.140625" style="2" customWidth="1"/>
    <col min="3" max="3" width="23.57421875" style="2" customWidth="1"/>
    <col min="4" max="4" width="22.57421875" style="2" customWidth="1"/>
    <col min="5" max="5" width="12.7109375" style="2" customWidth="1"/>
    <col min="6" max="6" width="13.7109375" style="2" customWidth="1"/>
    <col min="7" max="8" width="15.28125" style="2" customWidth="1"/>
    <col min="9" max="9" width="13.57421875" style="2" customWidth="1"/>
    <col min="10" max="10" width="13.421875" style="2" customWidth="1"/>
    <col min="11" max="11" width="13.28125" style="2" customWidth="1"/>
    <col min="12" max="12" width="13.8515625" style="2" customWidth="1"/>
    <col min="13" max="13" width="13.7109375" style="2" customWidth="1"/>
    <col min="14" max="14" width="13.00390625" style="2" customWidth="1"/>
    <col min="15" max="15" width="10.7109375" style="2" customWidth="1"/>
    <col min="16" max="16" width="14.8515625" style="2" customWidth="1"/>
    <col min="17" max="20" width="15.28125" style="2" customWidth="1"/>
    <col min="21" max="21" width="14.140625" style="2" customWidth="1"/>
    <col min="22" max="22" width="9.28125" style="2" customWidth="1"/>
    <col min="23" max="23" width="9.00390625" style="2" customWidth="1"/>
    <col min="24" max="24" width="14.57421875" style="2" customWidth="1"/>
    <col min="25" max="25" width="14.140625" style="2" customWidth="1"/>
    <col min="26" max="26" width="10.00390625" style="2" customWidth="1"/>
    <col min="27" max="27" width="8.7109375" style="2" customWidth="1"/>
    <col min="28" max="28" width="14.00390625" style="2" customWidth="1"/>
    <col min="29" max="29" width="14.28125" style="2" customWidth="1"/>
    <col min="30" max="31" width="12.57421875" style="2" customWidth="1"/>
    <col min="32" max="32" width="14.8515625" style="2" customWidth="1"/>
    <col min="33" max="33" width="16.140625" style="2" customWidth="1"/>
    <col min="34" max="16384" width="12.57421875" style="2" customWidth="1"/>
  </cols>
  <sheetData>
    <row r="1" spans="1:20" ht="54" hidden="1">
      <c r="A1" s="100" t="s">
        <v>429</v>
      </c>
      <c r="B1" s="154"/>
      <c r="C1" s="199" t="s">
        <v>225</v>
      </c>
      <c r="D1" s="153" t="s">
        <v>206</v>
      </c>
      <c r="E1" s="198" t="s">
        <v>208</v>
      </c>
      <c r="F1" s="153" t="s">
        <v>207</v>
      </c>
      <c r="G1" s="198" t="s">
        <v>209</v>
      </c>
      <c r="H1" s="153" t="s">
        <v>226</v>
      </c>
      <c r="I1" s="153" t="s">
        <v>238</v>
      </c>
      <c r="J1" s="153" t="s">
        <v>210</v>
      </c>
      <c r="K1" s="153" t="s">
        <v>238</v>
      </c>
      <c r="L1" s="153" t="s">
        <v>224</v>
      </c>
      <c r="M1" s="153"/>
      <c r="N1" s="153"/>
      <c r="O1" s="153"/>
      <c r="P1" s="153"/>
      <c r="Q1" s="153"/>
      <c r="R1" s="153"/>
      <c r="S1" s="735"/>
      <c r="T1" s="735"/>
    </row>
    <row r="2" spans="1:33" ht="53.25" customHeight="1">
      <c r="A2" s="1363" t="s">
        <v>408</v>
      </c>
      <c r="B2" s="1365" t="s">
        <v>630</v>
      </c>
      <c r="C2" s="1358" t="s">
        <v>704</v>
      </c>
      <c r="D2" s="1354"/>
      <c r="E2" s="1358" t="s">
        <v>99</v>
      </c>
      <c r="F2" s="1367"/>
      <c r="G2" s="1368" t="s">
        <v>100</v>
      </c>
      <c r="H2" s="1362"/>
      <c r="I2" s="1358" t="s">
        <v>423</v>
      </c>
      <c r="J2" s="1359"/>
      <c r="K2" s="1359"/>
      <c r="L2" s="1359"/>
      <c r="M2" s="1359"/>
      <c r="N2" s="1359"/>
      <c r="O2" s="1359"/>
      <c r="P2" s="1360"/>
      <c r="Q2" s="1361" t="s">
        <v>286</v>
      </c>
      <c r="R2" s="1362"/>
      <c r="S2" s="909" t="s">
        <v>38</v>
      </c>
      <c r="T2" s="1357" t="s">
        <v>691</v>
      </c>
      <c r="U2" s="1352" t="s">
        <v>222</v>
      </c>
      <c r="V2" s="1353"/>
      <c r="W2" s="1353"/>
      <c r="X2" s="1353"/>
      <c r="Y2" s="1353"/>
      <c r="Z2" s="1353"/>
      <c r="AA2" s="1353"/>
      <c r="AB2" s="1354"/>
      <c r="AC2" s="1352" t="s">
        <v>223</v>
      </c>
      <c r="AD2" s="1353"/>
      <c r="AE2" s="1353"/>
      <c r="AF2" s="1353"/>
      <c r="AG2" s="1312" t="s">
        <v>221</v>
      </c>
    </row>
    <row r="3" spans="1:33" ht="79.5" customHeight="1">
      <c r="A3" s="1364"/>
      <c r="B3" s="1364"/>
      <c r="C3" s="1351" t="s">
        <v>702</v>
      </c>
      <c r="D3" s="1315" t="s">
        <v>703</v>
      </c>
      <c r="E3" s="1355" t="s">
        <v>47</v>
      </c>
      <c r="F3" s="87" t="s">
        <v>426</v>
      </c>
      <c r="G3" s="501" t="s">
        <v>285</v>
      </c>
      <c r="H3" s="142" t="s">
        <v>95</v>
      </c>
      <c r="I3" s="1315" t="s">
        <v>102</v>
      </c>
      <c r="J3" s="1315" t="s">
        <v>101</v>
      </c>
      <c r="K3" s="1315" t="s">
        <v>475</v>
      </c>
      <c r="L3" s="1315" t="s">
        <v>82</v>
      </c>
      <c r="M3" s="1315" t="s">
        <v>705</v>
      </c>
      <c r="N3" s="1315" t="s">
        <v>706</v>
      </c>
      <c r="O3" s="1315" t="s">
        <v>707</v>
      </c>
      <c r="P3" s="87" t="s">
        <v>17</v>
      </c>
      <c r="Q3" s="1315" t="s">
        <v>214</v>
      </c>
      <c r="R3" s="87" t="s">
        <v>287</v>
      </c>
      <c r="S3" s="1315" t="s">
        <v>39</v>
      </c>
      <c r="T3" s="1313"/>
      <c r="U3" s="1355" t="s">
        <v>675</v>
      </c>
      <c r="V3" s="1351" t="s">
        <v>647</v>
      </c>
      <c r="W3" s="1315" t="s">
        <v>283</v>
      </c>
      <c r="X3" s="1355" t="s">
        <v>471</v>
      </c>
      <c r="Y3" s="1355" t="s">
        <v>676</v>
      </c>
      <c r="Z3" s="1351" t="s">
        <v>647</v>
      </c>
      <c r="AA3" s="1315" t="s">
        <v>446</v>
      </c>
      <c r="AB3" s="1355" t="s">
        <v>472</v>
      </c>
      <c r="AC3" s="1355" t="s">
        <v>661</v>
      </c>
      <c r="AD3" s="1351" t="s">
        <v>480</v>
      </c>
      <c r="AE3" s="1315" t="s">
        <v>20</v>
      </c>
      <c r="AF3" s="1355" t="s">
        <v>21</v>
      </c>
      <c r="AG3" s="1313"/>
    </row>
    <row r="4" spans="1:33" ht="25.5" customHeight="1">
      <c r="A4" s="1364"/>
      <c r="B4" s="1364"/>
      <c r="C4" s="1366"/>
      <c r="D4" s="1356"/>
      <c r="E4" s="1356"/>
      <c r="F4" s="409">
        <v>20000</v>
      </c>
      <c r="G4" s="482" t="s">
        <v>96</v>
      </c>
      <c r="H4" s="410">
        <f>'Table 3 Levels 1&amp;2'!AT77</f>
        <v>3478.57</v>
      </c>
      <c r="I4" s="1317"/>
      <c r="J4" s="1317"/>
      <c r="K4" s="1317"/>
      <c r="L4" s="1317"/>
      <c r="M4" s="1317"/>
      <c r="N4" s="1317"/>
      <c r="O4" s="1317"/>
      <c r="P4" s="411">
        <f>-(L75+N75)/O75</f>
        <v>23.278413031660637</v>
      </c>
      <c r="Q4" s="1317"/>
      <c r="R4" s="410">
        <v>100</v>
      </c>
      <c r="S4" s="1317"/>
      <c r="T4" s="1314"/>
      <c r="U4" s="1317"/>
      <c r="V4" s="1317"/>
      <c r="W4" s="1317"/>
      <c r="X4" s="1317"/>
      <c r="Y4" s="1356"/>
      <c r="Z4" s="1317"/>
      <c r="AA4" s="1317"/>
      <c r="AB4" s="1356"/>
      <c r="AC4" s="1317"/>
      <c r="AD4" s="1317"/>
      <c r="AE4" s="1317"/>
      <c r="AF4" s="1317"/>
      <c r="AG4" s="1314"/>
    </row>
    <row r="5" spans="1:33" s="284" customFormat="1" ht="14.25" customHeight="1">
      <c r="A5" s="295"/>
      <c r="B5" s="403"/>
      <c r="C5" s="412">
        <v>1</v>
      </c>
      <c r="D5" s="412">
        <f aca="true" t="shared" si="0" ref="D5:AG5">C5+1</f>
        <v>2</v>
      </c>
      <c r="E5" s="412">
        <f t="shared" si="0"/>
        <v>3</v>
      </c>
      <c r="F5" s="412">
        <f t="shared" si="0"/>
        <v>4</v>
      </c>
      <c r="G5" s="412">
        <f t="shared" si="0"/>
        <v>5</v>
      </c>
      <c r="H5" s="412">
        <f t="shared" si="0"/>
        <v>6</v>
      </c>
      <c r="I5" s="412">
        <f t="shared" si="0"/>
        <v>7</v>
      </c>
      <c r="J5" s="412">
        <f t="shared" si="0"/>
        <v>8</v>
      </c>
      <c r="K5" s="412">
        <f t="shared" si="0"/>
        <v>9</v>
      </c>
      <c r="L5" s="412">
        <f t="shared" si="0"/>
        <v>10</v>
      </c>
      <c r="M5" s="412">
        <f t="shared" si="0"/>
        <v>11</v>
      </c>
      <c r="N5" s="412">
        <f t="shared" si="0"/>
        <v>12</v>
      </c>
      <c r="O5" s="412">
        <f t="shared" si="0"/>
        <v>13</v>
      </c>
      <c r="P5" s="412">
        <f t="shared" si="0"/>
        <v>14</v>
      </c>
      <c r="Q5" s="412">
        <f t="shared" si="0"/>
        <v>15</v>
      </c>
      <c r="R5" s="412">
        <f t="shared" si="0"/>
        <v>16</v>
      </c>
      <c r="S5" s="412">
        <f t="shared" si="0"/>
        <v>17</v>
      </c>
      <c r="T5" s="412">
        <f t="shared" si="0"/>
        <v>18</v>
      </c>
      <c r="U5" s="412">
        <f t="shared" si="0"/>
        <v>19</v>
      </c>
      <c r="V5" s="412">
        <f t="shared" si="0"/>
        <v>20</v>
      </c>
      <c r="W5" s="412">
        <f t="shared" si="0"/>
        <v>21</v>
      </c>
      <c r="X5" s="412">
        <f t="shared" si="0"/>
        <v>22</v>
      </c>
      <c r="Y5" s="412">
        <f t="shared" si="0"/>
        <v>23</v>
      </c>
      <c r="Z5" s="412">
        <f t="shared" si="0"/>
        <v>24</v>
      </c>
      <c r="AA5" s="412">
        <f t="shared" si="0"/>
        <v>25</v>
      </c>
      <c r="AB5" s="412">
        <f t="shared" si="0"/>
        <v>26</v>
      </c>
      <c r="AC5" s="412">
        <f t="shared" si="0"/>
        <v>27</v>
      </c>
      <c r="AD5" s="412">
        <f t="shared" si="0"/>
        <v>28</v>
      </c>
      <c r="AE5" s="412">
        <f t="shared" si="0"/>
        <v>29</v>
      </c>
      <c r="AF5" s="412">
        <f t="shared" si="0"/>
        <v>30</v>
      </c>
      <c r="AG5" s="412">
        <f t="shared" si="0"/>
        <v>31</v>
      </c>
    </row>
    <row r="6" spans="1:33" ht="12.75">
      <c r="A6" s="124">
        <v>1</v>
      </c>
      <c r="B6" s="404" t="s">
        <v>302</v>
      </c>
      <c r="C6" s="413">
        <f>'[6]Table 4 Level 3'!E6+'[6]Table 4 Level 3'!I6+'[6]Table 4 Level 3'!M6+'[6]Table 4 Level 3'!Q6</f>
        <v>364.58000000000004</v>
      </c>
      <c r="D6" s="414">
        <f>ROUND(C6*'Table 3 Levels 1&amp;2'!C8,0)</f>
        <v>3258981</v>
      </c>
      <c r="E6" s="417">
        <v>0</v>
      </c>
      <c r="F6" s="416">
        <f aca="true" t="shared" si="1" ref="F6:F37">ROUND($F$4*E6,0)</f>
        <v>0</v>
      </c>
      <c r="G6" s="418"/>
      <c r="H6" s="416">
        <f aca="true" t="shared" si="2" ref="H6:H37">ROUND(G6*$H$4,0)</f>
        <v>0</v>
      </c>
      <c r="I6" s="420">
        <v>0</v>
      </c>
      <c r="J6" s="420">
        <v>0</v>
      </c>
      <c r="K6" s="420">
        <f>I6-J6</f>
        <v>0</v>
      </c>
      <c r="L6" s="421">
        <f>'[6]Table 4 Level 3'!AF6+'[6]Table 4 Level 3'!AG6+'[6]Table 4 Level 3'!AI6</f>
        <v>0</v>
      </c>
      <c r="M6" s="421">
        <f aca="true" t="shared" si="3" ref="M6:M37">SUM(K6:L6)</f>
        <v>0</v>
      </c>
      <c r="N6" s="421">
        <f>ROUND(-M6/8,0)</f>
        <v>0</v>
      </c>
      <c r="O6" s="419">
        <f>IF(L6&lt;0,0,'Table 3 Levels 1&amp;2'!C8)</f>
        <v>8939</v>
      </c>
      <c r="P6" s="416">
        <f aca="true" t="shared" si="4" ref="P6:P37">ROUND($P$4*O6,0)</f>
        <v>208086</v>
      </c>
      <c r="Q6" s="419">
        <f>'Table 3 Levels 1&amp;2'!C8</f>
        <v>8939</v>
      </c>
      <c r="R6" s="416">
        <f aca="true" t="shared" si="5" ref="R6:R37">ROUND(Q6*$R$4,0)</f>
        <v>893900</v>
      </c>
      <c r="S6" s="416"/>
      <c r="T6" s="416">
        <f>D6+F6+H6+J6+K6+L6+N6+P6+R6+S6</f>
        <v>4360967</v>
      </c>
      <c r="U6" s="416">
        <f>'[3]Total Pay Increase'!D7</f>
        <v>2136478</v>
      </c>
      <c r="V6" s="184">
        <f>'[4]audit adjustments Feb 1  Oct 1 '!I6</f>
        <v>9167</v>
      </c>
      <c r="W6" s="416">
        <f>ROUND(U6/V6,2)</f>
        <v>233.06</v>
      </c>
      <c r="X6" s="416">
        <f>W6*'Table 3 Levels 1&amp;2'!C8</f>
        <v>2083323.34</v>
      </c>
      <c r="Y6" s="416">
        <f>'[3]Total Pay Increase'!F7</f>
        <v>720167</v>
      </c>
      <c r="Z6" s="184">
        <f>V6</f>
        <v>9167</v>
      </c>
      <c r="AA6" s="416">
        <f>ROUND(Y6/Z6,2)</f>
        <v>78.56</v>
      </c>
      <c r="AB6" s="416">
        <f>AA6*'Table 3 Levels 1&amp;2'!C8</f>
        <v>702247.84</v>
      </c>
      <c r="AC6" s="416">
        <f>'[12]Total Pay Increase'!J6</f>
        <v>918511</v>
      </c>
      <c r="AD6" s="184">
        <f>'[8]Base Membership'!E8</f>
        <v>9069</v>
      </c>
      <c r="AE6" s="416">
        <f>ROUND(AC6/AD6,2)</f>
        <v>101.28</v>
      </c>
      <c r="AF6" s="416">
        <f>AE6*'Table 3 Levels 1&amp;2'!C8</f>
        <v>905341.92</v>
      </c>
      <c r="AG6" s="416">
        <f>T6+X6+AB6+AF6</f>
        <v>8051880.1</v>
      </c>
    </row>
    <row r="7" spans="1:33" ht="12.75">
      <c r="A7" s="124">
        <v>2</v>
      </c>
      <c r="B7" s="404" t="s">
        <v>303</v>
      </c>
      <c r="C7" s="413">
        <f>'[6]Table 4 Level 3'!E7+'[6]Table 4 Level 3'!I7+'[6]Table 4 Level 3'!M7+'[6]Table 4 Level 3'!Q7</f>
        <v>364.17</v>
      </c>
      <c r="D7" s="416">
        <f>ROUND(C7*'Table 3 Levels 1&amp;2'!C9,0)</f>
        <v>1454859</v>
      </c>
      <c r="E7" s="417">
        <v>0</v>
      </c>
      <c r="F7" s="416">
        <f t="shared" si="1"/>
        <v>0</v>
      </c>
      <c r="G7" s="418"/>
      <c r="H7" s="416">
        <f t="shared" si="2"/>
        <v>0</v>
      </c>
      <c r="I7" s="420">
        <v>0</v>
      </c>
      <c r="J7" s="420">
        <v>0</v>
      </c>
      <c r="K7" s="420">
        <f aca="true" t="shared" si="6" ref="K7:K70">I7-J7</f>
        <v>0</v>
      </c>
      <c r="L7" s="421">
        <f>'[6]Table 4 Level 3'!AF7+'[6]Table 4 Level 3'!AG7+'[6]Table 4 Level 3'!AI7</f>
        <v>0</v>
      </c>
      <c r="M7" s="421">
        <f t="shared" si="3"/>
        <v>0</v>
      </c>
      <c r="N7" s="421">
        <f aca="true" t="shared" si="7" ref="N7:N70">ROUND(-M7/8,0)</f>
        <v>0</v>
      </c>
      <c r="O7" s="419">
        <f>IF(L7&lt;0,0,'Table 3 Levels 1&amp;2'!C9)</f>
        <v>3995</v>
      </c>
      <c r="P7" s="416">
        <f t="shared" si="4"/>
        <v>92997</v>
      </c>
      <c r="Q7" s="419">
        <f>'Table 3 Levels 1&amp;2'!C9</f>
        <v>3995</v>
      </c>
      <c r="R7" s="416">
        <f t="shared" si="5"/>
        <v>399500</v>
      </c>
      <c r="S7" s="416"/>
      <c r="T7" s="416">
        <f aca="true" t="shared" si="8" ref="T7:T70">D7+F7+H7+J7+K7+L7+N7+P7+R7+S7</f>
        <v>1947356</v>
      </c>
      <c r="U7" s="416">
        <f>'[3]Total Pay Increase'!D8</f>
        <v>1140931</v>
      </c>
      <c r="V7" s="184">
        <f>'[4]audit adjustments Feb 1  Oct 1 '!I7</f>
        <v>4074</v>
      </c>
      <c r="W7" s="416">
        <f aca="true" t="shared" si="9" ref="W7:W70">ROUND(U7/V7,2)</f>
        <v>280.05</v>
      </c>
      <c r="X7" s="416">
        <f>W7*'Table 3 Levels 1&amp;2'!C9</f>
        <v>1118799.75</v>
      </c>
      <c r="Y7" s="416">
        <f>'[3]Total Pay Increase'!F8</f>
        <v>295250</v>
      </c>
      <c r="Z7" s="184">
        <f aca="true" t="shared" si="10" ref="Z7:Z70">V7</f>
        <v>4074</v>
      </c>
      <c r="AA7" s="416">
        <f aca="true" t="shared" si="11" ref="AA7:AA70">ROUND(Y7/Z7,2)</f>
        <v>72.47</v>
      </c>
      <c r="AB7" s="416">
        <f>AA7*'Table 3 Levels 1&amp;2'!C9</f>
        <v>289517.65</v>
      </c>
      <c r="AC7" s="416">
        <f>'[12]Total Pay Increase'!J7</f>
        <v>501379</v>
      </c>
      <c r="AD7" s="184">
        <f>'[8]Base Membership'!E9</f>
        <v>3991</v>
      </c>
      <c r="AE7" s="416">
        <f aca="true" t="shared" si="12" ref="AE7:AE40">ROUND(AC7/AD7,2)</f>
        <v>125.63</v>
      </c>
      <c r="AF7" s="416">
        <f>AE7*'Table 3 Levels 1&amp;2'!C9</f>
        <v>501891.85</v>
      </c>
      <c r="AG7" s="416">
        <f aca="true" t="shared" si="13" ref="AG7:AG70">T7+X7+AB7+AF7</f>
        <v>3857565.25</v>
      </c>
    </row>
    <row r="8" spans="1:33" ht="12.75">
      <c r="A8" s="124">
        <v>3</v>
      </c>
      <c r="B8" s="404" t="s">
        <v>304</v>
      </c>
      <c r="C8" s="413">
        <f>'[6]Table 4 Level 3'!E8+'[6]Table 4 Level 3'!I8+'[6]Table 4 Level 3'!M8+'[6]Table 4 Level 3'!Q8</f>
        <v>199.22000000000003</v>
      </c>
      <c r="D8" s="416">
        <f>ROUND(C8*'Table 3 Levels 1&amp;2'!C10,0)</f>
        <v>3717844</v>
      </c>
      <c r="E8" s="417">
        <v>0</v>
      </c>
      <c r="F8" s="416">
        <f t="shared" si="1"/>
        <v>0</v>
      </c>
      <c r="G8" s="418"/>
      <c r="H8" s="416">
        <f t="shared" si="2"/>
        <v>0</v>
      </c>
      <c r="I8" s="420">
        <v>0</v>
      </c>
      <c r="J8" s="420">
        <v>0</v>
      </c>
      <c r="K8" s="420">
        <f t="shared" si="6"/>
        <v>0</v>
      </c>
      <c r="L8" s="421">
        <f>'[6]Table 4 Level 3'!AF8+'[6]Table 4 Level 3'!AG8+'[6]Table 4 Level 3'!AI8</f>
        <v>0</v>
      </c>
      <c r="M8" s="421">
        <f t="shared" si="3"/>
        <v>0</v>
      </c>
      <c r="N8" s="421">
        <f t="shared" si="7"/>
        <v>0</v>
      </c>
      <c r="O8" s="419">
        <f>IF(L8&lt;0,0,'Table 3 Levels 1&amp;2'!C10)</f>
        <v>18662</v>
      </c>
      <c r="P8" s="416">
        <f t="shared" si="4"/>
        <v>434422</v>
      </c>
      <c r="Q8" s="419">
        <f>'Table 3 Levels 1&amp;2'!C10</f>
        <v>18662</v>
      </c>
      <c r="R8" s="416">
        <f t="shared" si="5"/>
        <v>1866200</v>
      </c>
      <c r="S8" s="416"/>
      <c r="T8" s="416">
        <f t="shared" si="8"/>
        <v>6018466</v>
      </c>
      <c r="U8" s="416">
        <f>'[3]Total Pay Increase'!D9</f>
        <v>4331077</v>
      </c>
      <c r="V8" s="184">
        <f>'[4]audit adjustments Feb 1  Oct 1 '!I8</f>
        <v>18265</v>
      </c>
      <c r="W8" s="416">
        <f t="shared" si="9"/>
        <v>237.12</v>
      </c>
      <c r="X8" s="416">
        <f>W8*'Table 3 Levels 1&amp;2'!C10</f>
        <v>4425133.44</v>
      </c>
      <c r="Y8" s="416">
        <f>'[3]Total Pay Increase'!F9</f>
        <v>1082281</v>
      </c>
      <c r="Z8" s="184">
        <f t="shared" si="10"/>
        <v>18265</v>
      </c>
      <c r="AA8" s="416">
        <f t="shared" si="11"/>
        <v>59.25</v>
      </c>
      <c r="AB8" s="416">
        <f>AA8*'Table 3 Levels 1&amp;2'!C10</f>
        <v>1105723.5</v>
      </c>
      <c r="AC8" s="416">
        <f>'[12]Total Pay Increase'!J8</f>
        <v>1898335</v>
      </c>
      <c r="AD8" s="184">
        <f>'[8]Base Membership'!E10</f>
        <v>18749</v>
      </c>
      <c r="AE8" s="416">
        <f t="shared" si="12"/>
        <v>101.25</v>
      </c>
      <c r="AF8" s="416">
        <f>AE8*'Table 3 Levels 1&amp;2'!C10</f>
        <v>1889527.5</v>
      </c>
      <c r="AG8" s="416">
        <f t="shared" si="13"/>
        <v>13438850.440000001</v>
      </c>
    </row>
    <row r="9" spans="1:33" ht="12.75">
      <c r="A9" s="124">
        <v>4</v>
      </c>
      <c r="B9" s="404" t="s">
        <v>305</v>
      </c>
      <c r="C9" s="413">
        <f>'[6]Table 4 Level 3'!E9+'[6]Table 4 Level 3'!I9+'[6]Table 4 Level 3'!M9+'[6]Table 4 Level 3'!Q9</f>
        <v>243.81</v>
      </c>
      <c r="D9" s="416">
        <f>ROUND(C9*'Table 3 Levels 1&amp;2'!C11,0)</f>
        <v>916969</v>
      </c>
      <c r="E9" s="417">
        <v>2</v>
      </c>
      <c r="F9" s="416">
        <f t="shared" si="1"/>
        <v>40000</v>
      </c>
      <c r="G9" s="418"/>
      <c r="H9" s="416">
        <f t="shared" si="2"/>
        <v>0</v>
      </c>
      <c r="I9" s="420">
        <v>0</v>
      </c>
      <c r="J9" s="420">
        <v>0</v>
      </c>
      <c r="K9" s="420">
        <f t="shared" si="6"/>
        <v>0</v>
      </c>
      <c r="L9" s="421">
        <f>'[6]Table 4 Level 3'!AF9+'[6]Table 4 Level 3'!AG9+'[6]Table 4 Level 3'!AI9</f>
        <v>0</v>
      </c>
      <c r="M9" s="421">
        <f t="shared" si="3"/>
        <v>0</v>
      </c>
      <c r="N9" s="421">
        <f t="shared" si="7"/>
        <v>0</v>
      </c>
      <c r="O9" s="419">
        <f>IF(L9&lt;0,0,'Table 3 Levels 1&amp;2'!C11)</f>
        <v>3761</v>
      </c>
      <c r="P9" s="416">
        <f t="shared" si="4"/>
        <v>87550</v>
      </c>
      <c r="Q9" s="419">
        <f>'Table 3 Levels 1&amp;2'!C11</f>
        <v>3761</v>
      </c>
      <c r="R9" s="416">
        <f t="shared" si="5"/>
        <v>376100</v>
      </c>
      <c r="S9" s="416"/>
      <c r="T9" s="416">
        <f t="shared" si="8"/>
        <v>1420619</v>
      </c>
      <c r="U9" s="416">
        <f>'[3]Total Pay Increase'!D10</f>
        <v>1004213</v>
      </c>
      <c r="V9" s="184">
        <f>'[4]audit adjustments Feb 1  Oct 1 '!I9</f>
        <v>3921</v>
      </c>
      <c r="W9" s="416">
        <f t="shared" si="9"/>
        <v>256.11</v>
      </c>
      <c r="X9" s="416">
        <f>W9*'Table 3 Levels 1&amp;2'!C11</f>
        <v>963229.7100000001</v>
      </c>
      <c r="Y9" s="416">
        <f>'[3]Total Pay Increase'!F10</f>
        <v>336585</v>
      </c>
      <c r="Z9" s="184">
        <f t="shared" si="10"/>
        <v>3921</v>
      </c>
      <c r="AA9" s="416">
        <f t="shared" si="11"/>
        <v>85.84</v>
      </c>
      <c r="AB9" s="416">
        <f>AA9*'Table 3 Levels 1&amp;2'!C11</f>
        <v>322844.24</v>
      </c>
      <c r="AC9" s="416">
        <f>'[12]Total Pay Increase'!J9</f>
        <v>0</v>
      </c>
      <c r="AD9" s="184">
        <f>'[8]Base Membership'!E11</f>
        <v>3743</v>
      </c>
      <c r="AE9" s="416">
        <f t="shared" si="12"/>
        <v>0</v>
      </c>
      <c r="AF9" s="416">
        <f>AE9*'Table 3 Levels 1&amp;2'!C11</f>
        <v>0</v>
      </c>
      <c r="AG9" s="416">
        <f t="shared" si="13"/>
        <v>2706692.95</v>
      </c>
    </row>
    <row r="10" spans="1:33" ht="12.75">
      <c r="A10" s="125">
        <v>5</v>
      </c>
      <c r="B10" s="405" t="s">
        <v>306</v>
      </c>
      <c r="C10" s="422">
        <f>'[6]Table 4 Level 3'!E10+'[6]Table 4 Level 3'!I10+'[6]Table 4 Level 3'!M10+'[6]Table 4 Level 3'!Q10</f>
        <v>294.90000000000003</v>
      </c>
      <c r="D10" s="424">
        <f>ROUND(C10*'Table 3 Levels 1&amp;2'!C12,0)</f>
        <v>1744923</v>
      </c>
      <c r="E10" s="425">
        <v>0</v>
      </c>
      <c r="F10" s="424">
        <f t="shared" si="1"/>
        <v>0</v>
      </c>
      <c r="G10" s="426"/>
      <c r="H10" s="424">
        <f t="shared" si="2"/>
        <v>0</v>
      </c>
      <c r="I10" s="428">
        <v>0</v>
      </c>
      <c r="J10" s="428">
        <v>0</v>
      </c>
      <c r="K10" s="428">
        <f t="shared" si="6"/>
        <v>0</v>
      </c>
      <c r="L10" s="429">
        <f>'[6]Table 4 Level 3'!AF10+'[6]Table 4 Level 3'!AG10+'[6]Table 4 Level 3'!AI10</f>
        <v>0</v>
      </c>
      <c r="M10" s="429">
        <f t="shared" si="3"/>
        <v>0</v>
      </c>
      <c r="N10" s="429">
        <f t="shared" si="7"/>
        <v>0</v>
      </c>
      <c r="O10" s="427">
        <f>IF(L10&lt;0,0,'Table 3 Levels 1&amp;2'!C12)</f>
        <v>5917</v>
      </c>
      <c r="P10" s="424">
        <f t="shared" si="4"/>
        <v>137738</v>
      </c>
      <c r="Q10" s="427">
        <f>'Table 3 Levels 1&amp;2'!C12</f>
        <v>5917</v>
      </c>
      <c r="R10" s="424">
        <f t="shared" si="5"/>
        <v>591700</v>
      </c>
      <c r="S10" s="424"/>
      <c r="T10" s="424">
        <f t="shared" si="8"/>
        <v>2474361</v>
      </c>
      <c r="U10" s="424">
        <f>'[3]Total Pay Increase'!D11</f>
        <v>1205108</v>
      </c>
      <c r="V10" s="309">
        <f>'[4]audit adjustments Feb 1  Oct 1 '!I10</f>
        <v>5934</v>
      </c>
      <c r="W10" s="424">
        <f t="shared" si="9"/>
        <v>203.09</v>
      </c>
      <c r="X10" s="424">
        <f>W10*'Table 3 Levels 1&amp;2'!C12</f>
        <v>1201683.53</v>
      </c>
      <c r="Y10" s="424">
        <f>'[3]Total Pay Increase'!F11</f>
        <v>343671</v>
      </c>
      <c r="Z10" s="309">
        <f t="shared" si="10"/>
        <v>5934</v>
      </c>
      <c r="AA10" s="424">
        <f t="shared" si="11"/>
        <v>57.92</v>
      </c>
      <c r="AB10" s="424">
        <f>AA10*'Table 3 Levels 1&amp;2'!C12</f>
        <v>342712.64</v>
      </c>
      <c r="AC10" s="424">
        <f>'[12]Total Pay Increase'!J10</f>
        <v>0</v>
      </c>
      <c r="AD10" s="309">
        <f>'[8]Base Membership'!E12</f>
        <v>6003</v>
      </c>
      <c r="AE10" s="424">
        <f t="shared" si="12"/>
        <v>0</v>
      </c>
      <c r="AF10" s="424">
        <f>AE10*'Table 3 Levels 1&amp;2'!C12</f>
        <v>0</v>
      </c>
      <c r="AG10" s="424">
        <f t="shared" si="13"/>
        <v>4018757.1700000004</v>
      </c>
    </row>
    <row r="11" spans="1:33" ht="12.75">
      <c r="A11" s="124">
        <v>6</v>
      </c>
      <c r="B11" s="404" t="s">
        <v>307</v>
      </c>
      <c r="C11" s="413">
        <f>'[6]Table 4 Level 3'!E11+'[6]Table 4 Level 3'!I11+'[6]Table 4 Level 3'!M11+'[6]Table 4 Level 3'!Q11</f>
        <v>237.42999999999998</v>
      </c>
      <c r="D11" s="416">
        <f>ROUND(C11*'Table 3 Levels 1&amp;2'!C13,0)</f>
        <v>1403211</v>
      </c>
      <c r="E11" s="417">
        <v>0</v>
      </c>
      <c r="F11" s="416">
        <f t="shared" si="1"/>
        <v>0</v>
      </c>
      <c r="G11" s="418"/>
      <c r="H11" s="416">
        <f t="shared" si="2"/>
        <v>0</v>
      </c>
      <c r="I11" s="420">
        <v>0</v>
      </c>
      <c r="J11" s="420">
        <v>0</v>
      </c>
      <c r="K11" s="420">
        <f t="shared" si="6"/>
        <v>0</v>
      </c>
      <c r="L11" s="421">
        <f>'[6]Table 4 Level 3'!AF11+'[6]Table 4 Level 3'!AG11+'[6]Table 4 Level 3'!AI11</f>
        <v>0</v>
      </c>
      <c r="M11" s="421">
        <f t="shared" si="3"/>
        <v>0</v>
      </c>
      <c r="N11" s="421">
        <f t="shared" si="7"/>
        <v>0</v>
      </c>
      <c r="O11" s="419">
        <f>IF(L11&lt;0,0,'Table 3 Levels 1&amp;2'!C13)</f>
        <v>5910</v>
      </c>
      <c r="P11" s="416">
        <f t="shared" si="4"/>
        <v>137575</v>
      </c>
      <c r="Q11" s="419">
        <f>'Table 3 Levels 1&amp;2'!C13</f>
        <v>5910</v>
      </c>
      <c r="R11" s="416">
        <f t="shared" si="5"/>
        <v>591000</v>
      </c>
      <c r="S11" s="416"/>
      <c r="T11" s="416">
        <f t="shared" si="8"/>
        <v>2131786</v>
      </c>
      <c r="U11" s="416">
        <f>'[3]Total Pay Increase'!D12</f>
        <v>1416213</v>
      </c>
      <c r="V11" s="184">
        <f>'[4]audit adjustments Feb 1  Oct 1 '!I11</f>
        <v>6023</v>
      </c>
      <c r="W11" s="416">
        <f t="shared" si="9"/>
        <v>235.13</v>
      </c>
      <c r="X11" s="1265">
        <f>W11*'Table 3 Levels 1&amp;2'!C13</f>
        <v>1389618.3</v>
      </c>
      <c r="Y11" s="1265">
        <f>'[3]Total Pay Increase'!F12</f>
        <v>439177</v>
      </c>
      <c r="Z11" s="1266">
        <f t="shared" si="10"/>
        <v>6023</v>
      </c>
      <c r="AA11" s="1265">
        <f t="shared" si="11"/>
        <v>72.92</v>
      </c>
      <c r="AB11" s="1265">
        <f>AA11*'Table 3 Levels 1&amp;2'!C13</f>
        <v>430957.2</v>
      </c>
      <c r="AC11" s="1265">
        <f>'[12]Total Pay Increase'!J11</f>
        <v>0</v>
      </c>
      <c r="AD11" s="1266">
        <f>'[8]Base Membership'!E13</f>
        <v>5944</v>
      </c>
      <c r="AE11" s="1265">
        <f t="shared" si="12"/>
        <v>0</v>
      </c>
      <c r="AF11" s="1265">
        <f>AE11*'Table 3 Levels 1&amp;2'!C13</f>
        <v>0</v>
      </c>
      <c r="AG11" s="416">
        <f t="shared" si="13"/>
        <v>3952361.5</v>
      </c>
    </row>
    <row r="12" spans="1:33" ht="12.75">
      <c r="A12" s="124">
        <v>7</v>
      </c>
      <c r="B12" s="404" t="s">
        <v>308</v>
      </c>
      <c r="C12" s="413">
        <f>'[6]Table 4 Level 3'!E12+'[6]Table 4 Level 3'!I12+'[6]Table 4 Level 3'!M12+'[6]Table 4 Level 3'!Q12</f>
        <v>258.89</v>
      </c>
      <c r="D12" s="416">
        <f>ROUND(C12*'Table 3 Levels 1&amp;2'!C14,0)</f>
        <v>549365</v>
      </c>
      <c r="E12" s="417">
        <v>0</v>
      </c>
      <c r="F12" s="416">
        <f t="shared" si="1"/>
        <v>0</v>
      </c>
      <c r="G12" s="418"/>
      <c r="H12" s="416">
        <f t="shared" si="2"/>
        <v>0</v>
      </c>
      <c r="I12" s="420">
        <v>0</v>
      </c>
      <c r="J12" s="420">
        <v>0</v>
      </c>
      <c r="K12" s="420">
        <f t="shared" si="6"/>
        <v>0</v>
      </c>
      <c r="L12" s="421">
        <f>'[6]Table 4 Level 3'!AF12+'[6]Table 4 Level 3'!AG12+'[6]Table 4 Level 3'!AI12</f>
        <v>0</v>
      </c>
      <c r="M12" s="421">
        <f t="shared" si="3"/>
        <v>0</v>
      </c>
      <c r="N12" s="421">
        <f t="shared" si="7"/>
        <v>0</v>
      </c>
      <c r="O12" s="419">
        <f>IF(L12&lt;0,0,'Table 3 Levels 1&amp;2'!C14)</f>
        <v>2122</v>
      </c>
      <c r="P12" s="416">
        <f t="shared" si="4"/>
        <v>49397</v>
      </c>
      <c r="Q12" s="419">
        <f>'Table 3 Levels 1&amp;2'!C14</f>
        <v>2122</v>
      </c>
      <c r="R12" s="416">
        <f t="shared" si="5"/>
        <v>212200</v>
      </c>
      <c r="S12" s="416"/>
      <c r="T12" s="416">
        <f t="shared" si="8"/>
        <v>810962</v>
      </c>
      <c r="U12" s="416">
        <f>'[3]Total Pay Increase'!D13</f>
        <v>618938</v>
      </c>
      <c r="V12" s="184">
        <f>'[4]audit adjustments Feb 1  Oct 1 '!I12</f>
        <v>2211</v>
      </c>
      <c r="W12" s="416">
        <f t="shared" si="9"/>
        <v>279.94</v>
      </c>
      <c r="X12" s="1265">
        <f>W12*'Table 3 Levels 1&amp;2'!C14</f>
        <v>594032.68</v>
      </c>
      <c r="Y12" s="1265">
        <f>'[3]Total Pay Increase'!F13</f>
        <v>204348</v>
      </c>
      <c r="Z12" s="1266">
        <f t="shared" si="10"/>
        <v>2211</v>
      </c>
      <c r="AA12" s="1265">
        <f t="shared" si="11"/>
        <v>92.42</v>
      </c>
      <c r="AB12" s="1265">
        <f>AA12*'Table 3 Levels 1&amp;2'!C14</f>
        <v>196115.24</v>
      </c>
      <c r="AC12" s="1265">
        <f>'[12]Total Pay Increase'!J12</f>
        <v>267167</v>
      </c>
      <c r="AD12" s="1266">
        <f>'[8]Base Membership'!E14</f>
        <v>2126</v>
      </c>
      <c r="AE12" s="1265">
        <f t="shared" si="12"/>
        <v>125.67</v>
      </c>
      <c r="AF12" s="1265">
        <f>AE12*'Table 3 Levels 1&amp;2'!C14</f>
        <v>266671.74</v>
      </c>
      <c r="AG12" s="416">
        <f t="shared" si="13"/>
        <v>1867781.6600000001</v>
      </c>
    </row>
    <row r="13" spans="1:33" ht="12.75">
      <c r="A13" s="124">
        <v>8</v>
      </c>
      <c r="B13" s="404" t="s">
        <v>309</v>
      </c>
      <c r="C13" s="413">
        <f>'[6]Table 4 Level 3'!E13+'[6]Table 4 Level 3'!I13+'[6]Table 4 Level 3'!M13+'[6]Table 4 Level 3'!Q13</f>
        <v>339.5</v>
      </c>
      <c r="D13" s="416">
        <f>ROUND(C13*'Table 3 Levels 1&amp;2'!C15,0)</f>
        <v>6546239</v>
      </c>
      <c r="E13" s="417">
        <v>4</v>
      </c>
      <c r="F13" s="416">
        <f t="shared" si="1"/>
        <v>80000</v>
      </c>
      <c r="G13" s="418"/>
      <c r="H13" s="416">
        <f t="shared" si="2"/>
        <v>0</v>
      </c>
      <c r="I13" s="420">
        <v>0</v>
      </c>
      <c r="J13" s="420">
        <v>0</v>
      </c>
      <c r="K13" s="420">
        <f t="shared" si="6"/>
        <v>0</v>
      </c>
      <c r="L13" s="421">
        <f>'[6]Table 4 Level 3'!AF13+'[6]Table 4 Level 3'!AG13+'[6]Table 4 Level 3'!AI13</f>
        <v>0</v>
      </c>
      <c r="M13" s="421">
        <f t="shared" si="3"/>
        <v>0</v>
      </c>
      <c r="N13" s="421">
        <f t="shared" si="7"/>
        <v>0</v>
      </c>
      <c r="O13" s="419">
        <f>IF(L13&lt;0,0,'Table 3 Levels 1&amp;2'!C15)</f>
        <v>19282</v>
      </c>
      <c r="P13" s="416">
        <f t="shared" si="4"/>
        <v>448854</v>
      </c>
      <c r="Q13" s="419">
        <f>'Table 3 Levels 1&amp;2'!C15</f>
        <v>19282</v>
      </c>
      <c r="R13" s="416">
        <f t="shared" si="5"/>
        <v>1928200</v>
      </c>
      <c r="S13" s="416"/>
      <c r="T13" s="416">
        <f t="shared" si="8"/>
        <v>9003293</v>
      </c>
      <c r="U13" s="416">
        <f>'[3]Total Pay Increase'!D14</f>
        <v>4344077</v>
      </c>
      <c r="V13" s="184">
        <f>'[4]audit adjustments Feb 1  Oct 1 '!I13</f>
        <v>19366</v>
      </c>
      <c r="W13" s="416">
        <f t="shared" si="9"/>
        <v>224.31</v>
      </c>
      <c r="X13" s="1265">
        <f>W13*'Table 3 Levels 1&amp;2'!C15</f>
        <v>4325145.42</v>
      </c>
      <c r="Y13" s="1265">
        <f>'[3]Total Pay Increase'!F14</f>
        <v>1221917</v>
      </c>
      <c r="Z13" s="1266">
        <f t="shared" si="10"/>
        <v>19366</v>
      </c>
      <c r="AA13" s="1265">
        <f t="shared" si="11"/>
        <v>63.1</v>
      </c>
      <c r="AB13" s="1265">
        <f>AA13*'Table 3 Levels 1&amp;2'!C15</f>
        <v>1216694.2</v>
      </c>
      <c r="AC13" s="1265">
        <f>'[12]Total Pay Increase'!J13</f>
        <v>1928610</v>
      </c>
      <c r="AD13" s="1266">
        <f>'[8]Base Membership'!E15</f>
        <v>19511</v>
      </c>
      <c r="AE13" s="1265">
        <f t="shared" si="12"/>
        <v>98.85</v>
      </c>
      <c r="AF13" s="1265">
        <f>AE13*'Table 3 Levels 1&amp;2'!C15</f>
        <v>1906025.7</v>
      </c>
      <c r="AG13" s="416">
        <f t="shared" si="13"/>
        <v>16451158.319999998</v>
      </c>
    </row>
    <row r="14" spans="1:33" ht="12.75">
      <c r="A14" s="124">
        <v>9</v>
      </c>
      <c r="B14" s="404" t="s">
        <v>310</v>
      </c>
      <c r="C14" s="413">
        <f>'[6]Table 4 Level 3'!E14+'[6]Table 4 Level 3'!I14+'[6]Table 4 Level 3'!M14+'[6]Table 4 Level 3'!Q14</f>
        <v>314.46</v>
      </c>
      <c r="D14" s="416">
        <f>ROUND(C14*'Table 3 Levels 1&amp;2'!C16,0)</f>
        <v>13009210</v>
      </c>
      <c r="E14" s="417">
        <v>11</v>
      </c>
      <c r="F14" s="416">
        <f t="shared" si="1"/>
        <v>220000</v>
      </c>
      <c r="G14" s="418"/>
      <c r="H14" s="416">
        <f t="shared" si="2"/>
        <v>0</v>
      </c>
      <c r="I14" s="420">
        <v>0</v>
      </c>
      <c r="J14" s="420">
        <v>0</v>
      </c>
      <c r="K14" s="420">
        <f t="shared" si="6"/>
        <v>0</v>
      </c>
      <c r="L14" s="421">
        <f>'[6]Table 4 Level 3'!AF14+'[6]Table 4 Level 3'!AG14+'[6]Table 4 Level 3'!AI14</f>
        <v>0</v>
      </c>
      <c r="M14" s="421">
        <f t="shared" si="3"/>
        <v>0</v>
      </c>
      <c r="N14" s="421">
        <f t="shared" si="7"/>
        <v>0</v>
      </c>
      <c r="O14" s="419">
        <f>IF(L14&lt;0,0,'Table 3 Levels 1&amp;2'!C16)</f>
        <v>41370</v>
      </c>
      <c r="P14" s="416">
        <f t="shared" si="4"/>
        <v>963028</v>
      </c>
      <c r="Q14" s="419">
        <f>'Table 3 Levels 1&amp;2'!C16</f>
        <v>41370</v>
      </c>
      <c r="R14" s="416">
        <f t="shared" si="5"/>
        <v>4137000</v>
      </c>
      <c r="S14" s="416"/>
      <c r="T14" s="416">
        <f t="shared" si="8"/>
        <v>18329238</v>
      </c>
      <c r="U14" s="416">
        <f>'[3]Total Pay Increase'!D15</f>
        <v>10143411</v>
      </c>
      <c r="V14" s="184">
        <f>'[4]audit adjustments Feb 1  Oct 1 '!I14</f>
        <v>41922</v>
      </c>
      <c r="W14" s="416">
        <f t="shared" si="9"/>
        <v>241.96</v>
      </c>
      <c r="X14" s="1265">
        <f>W14*'Table 3 Levels 1&amp;2'!C16</f>
        <v>10009885.200000001</v>
      </c>
      <c r="Y14" s="1265">
        <f>'[3]Total Pay Increase'!F15</f>
        <v>3461299</v>
      </c>
      <c r="Z14" s="1266">
        <f t="shared" si="10"/>
        <v>41922</v>
      </c>
      <c r="AA14" s="1265">
        <f t="shared" si="11"/>
        <v>82.57</v>
      </c>
      <c r="AB14" s="1265">
        <f>AA14*'Table 3 Levels 1&amp;2'!C16</f>
        <v>3415920.9</v>
      </c>
      <c r="AC14" s="1265">
        <f>'[12]Total Pay Increase'!J14</f>
        <v>4405760</v>
      </c>
      <c r="AD14" s="1266">
        <f>'[8]Base Membership'!E16</f>
        <v>41653</v>
      </c>
      <c r="AE14" s="1265">
        <f t="shared" si="12"/>
        <v>105.77</v>
      </c>
      <c r="AF14" s="1265">
        <f>'Table 5B2_RSD_LA'!N30</f>
        <v>4375704.9</v>
      </c>
      <c r="AG14" s="416">
        <f t="shared" si="13"/>
        <v>36130749</v>
      </c>
    </row>
    <row r="15" spans="1:33" ht="12.75">
      <c r="A15" s="125">
        <v>10</v>
      </c>
      <c r="B15" s="405" t="s">
        <v>311</v>
      </c>
      <c r="C15" s="422">
        <f>'[6]Table 4 Level 3'!E15+'[6]Table 4 Level 3'!I15+'[6]Table 4 Level 3'!M15+'[6]Table 4 Level 3'!Q15</f>
        <v>255</v>
      </c>
      <c r="D15" s="424">
        <f>ROUND(C15*'Table 3 Levels 1&amp;2'!C17,0)</f>
        <v>7874910</v>
      </c>
      <c r="E15" s="425">
        <v>22</v>
      </c>
      <c r="F15" s="424">
        <f t="shared" si="1"/>
        <v>440000</v>
      </c>
      <c r="G15" s="426"/>
      <c r="H15" s="424">
        <f t="shared" si="2"/>
        <v>0</v>
      </c>
      <c r="I15" s="428">
        <v>0</v>
      </c>
      <c r="J15" s="428">
        <v>0</v>
      </c>
      <c r="K15" s="428">
        <f t="shared" si="6"/>
        <v>0</v>
      </c>
      <c r="L15" s="429">
        <f>'[6]Table 4 Level 3'!AF15+'[6]Table 4 Level 3'!AG15+'[6]Table 4 Level 3'!AI15</f>
        <v>0</v>
      </c>
      <c r="M15" s="429">
        <f t="shared" si="3"/>
        <v>0</v>
      </c>
      <c r="N15" s="429">
        <f t="shared" si="7"/>
        <v>0</v>
      </c>
      <c r="O15" s="427">
        <f>IF(L15&lt;0,0,'Table 3 Levels 1&amp;2'!C17)</f>
        <v>30882</v>
      </c>
      <c r="P15" s="424">
        <f t="shared" si="4"/>
        <v>718884</v>
      </c>
      <c r="Q15" s="427">
        <f>'Table 3 Levels 1&amp;2'!C17</f>
        <v>30882</v>
      </c>
      <c r="R15" s="424">
        <f t="shared" si="5"/>
        <v>3088200</v>
      </c>
      <c r="S15" s="424"/>
      <c r="T15" s="424">
        <f t="shared" si="8"/>
        <v>12121994</v>
      </c>
      <c r="U15" s="424">
        <f>'[3]Total Pay Increase'!D16</f>
        <v>8295953</v>
      </c>
      <c r="V15" s="309">
        <f>'[4]audit adjustments Feb 1  Oct 1 '!I15</f>
        <v>31016</v>
      </c>
      <c r="W15" s="424">
        <f t="shared" si="9"/>
        <v>267.47</v>
      </c>
      <c r="X15" s="1267">
        <f>W15*'Table 3 Levels 1&amp;2'!C17</f>
        <v>8260008.540000001</v>
      </c>
      <c r="Y15" s="1267">
        <f>'[3]Total Pay Increase'!F16</f>
        <v>2282164</v>
      </c>
      <c r="Z15" s="1268">
        <f t="shared" si="10"/>
        <v>31016</v>
      </c>
      <c r="AA15" s="1267">
        <f t="shared" si="11"/>
        <v>73.58</v>
      </c>
      <c r="AB15" s="1267">
        <f>AA15*'Table 3 Levels 1&amp;2'!C17</f>
        <v>2272297.56</v>
      </c>
      <c r="AC15" s="1267">
        <f>'[12]Total Pay Increase'!J15</f>
        <v>373713</v>
      </c>
      <c r="AD15" s="1268">
        <f>'[8]Base Membership'!E17</f>
        <v>31163</v>
      </c>
      <c r="AE15" s="1267">
        <f t="shared" si="12"/>
        <v>11.99</v>
      </c>
      <c r="AF15" s="1267">
        <f>AE15*'Table 3 Levels 1&amp;2'!C17</f>
        <v>370275.18</v>
      </c>
      <c r="AG15" s="424">
        <f t="shared" si="13"/>
        <v>23024575.279999997</v>
      </c>
    </row>
    <row r="16" spans="1:33" ht="12.75">
      <c r="A16" s="124">
        <v>11</v>
      </c>
      <c r="B16" s="404" t="s">
        <v>312</v>
      </c>
      <c r="C16" s="413">
        <f>'[6]Table 4 Level 3'!E16+'[6]Table 4 Level 3'!I16+'[6]Table 4 Level 3'!M16+'[6]Table 4 Level 3'!Q16</f>
        <v>282.63</v>
      </c>
      <c r="D16" s="416">
        <f>ROUND(C16*'Table 3 Levels 1&amp;2'!C18,0)</f>
        <v>461535</v>
      </c>
      <c r="E16" s="417">
        <v>0</v>
      </c>
      <c r="F16" s="416">
        <f t="shared" si="1"/>
        <v>0</v>
      </c>
      <c r="G16" s="418"/>
      <c r="H16" s="416">
        <f t="shared" si="2"/>
        <v>0</v>
      </c>
      <c r="I16" s="420">
        <v>0</v>
      </c>
      <c r="J16" s="420">
        <v>0</v>
      </c>
      <c r="K16" s="420">
        <f t="shared" si="6"/>
        <v>0</v>
      </c>
      <c r="L16" s="421">
        <f>'[6]Table 4 Level 3'!AF16+'[6]Table 4 Level 3'!AG16+'[6]Table 4 Level 3'!AI16</f>
        <v>0</v>
      </c>
      <c r="M16" s="421">
        <f t="shared" si="3"/>
        <v>0</v>
      </c>
      <c r="N16" s="421">
        <f t="shared" si="7"/>
        <v>0</v>
      </c>
      <c r="O16" s="419">
        <f>IF(L16&lt;0,0,'Table 3 Levels 1&amp;2'!C18)</f>
        <v>1633</v>
      </c>
      <c r="P16" s="416">
        <f t="shared" si="4"/>
        <v>38014</v>
      </c>
      <c r="Q16" s="419">
        <f>'Table 3 Levels 1&amp;2'!C18</f>
        <v>1633</v>
      </c>
      <c r="R16" s="416">
        <f t="shared" si="5"/>
        <v>163300</v>
      </c>
      <c r="S16" s="416"/>
      <c r="T16" s="416">
        <f t="shared" si="8"/>
        <v>662849</v>
      </c>
      <c r="U16" s="416">
        <f>'[3]Total Pay Increase'!D17</f>
        <v>435921</v>
      </c>
      <c r="V16" s="184">
        <f>'[4]audit adjustments Feb 1  Oct 1 '!I16</f>
        <v>1680</v>
      </c>
      <c r="W16" s="416">
        <f t="shared" si="9"/>
        <v>259.48</v>
      </c>
      <c r="X16" s="1265">
        <f>W16*'Table 3 Levels 1&amp;2'!C18</f>
        <v>423730.84</v>
      </c>
      <c r="Y16" s="1265">
        <f>'[3]Total Pay Increase'!F17</f>
        <v>157509</v>
      </c>
      <c r="Z16" s="1266">
        <f t="shared" si="10"/>
        <v>1680</v>
      </c>
      <c r="AA16" s="1265">
        <f t="shared" si="11"/>
        <v>93.76</v>
      </c>
      <c r="AB16" s="1265">
        <f>AA16*'Table 3 Levels 1&amp;2'!C18</f>
        <v>153110.08000000002</v>
      </c>
      <c r="AC16" s="1265">
        <f>'[12]Total Pay Increase'!J16</f>
        <v>117895</v>
      </c>
      <c r="AD16" s="1266">
        <f>'[8]Base Membership'!E18</f>
        <v>1668</v>
      </c>
      <c r="AE16" s="1265">
        <f t="shared" si="12"/>
        <v>70.68</v>
      </c>
      <c r="AF16" s="1265">
        <f>AE16*'Table 3 Levels 1&amp;2'!C18</f>
        <v>115420.44000000002</v>
      </c>
      <c r="AG16" s="416">
        <f t="shared" si="13"/>
        <v>1355110.36</v>
      </c>
    </row>
    <row r="17" spans="1:33" ht="12.75">
      <c r="A17" s="124">
        <v>12</v>
      </c>
      <c r="B17" s="404" t="s">
        <v>313</v>
      </c>
      <c r="C17" s="413">
        <f>'[6]Table 4 Level 3'!E17+'[6]Table 4 Level 3'!I17+'[6]Table 4 Level 3'!M17+'[6]Table 4 Level 3'!Q17</f>
        <v>464.27</v>
      </c>
      <c r="D17" s="416">
        <f>ROUND(C17*'Table 3 Levels 1&amp;2'!C19,0)</f>
        <v>606801</v>
      </c>
      <c r="E17" s="417">
        <v>1</v>
      </c>
      <c r="F17" s="416">
        <f t="shared" si="1"/>
        <v>20000</v>
      </c>
      <c r="G17" s="418"/>
      <c r="H17" s="416">
        <f t="shared" si="2"/>
        <v>0</v>
      </c>
      <c r="I17" s="420">
        <v>0</v>
      </c>
      <c r="J17" s="420">
        <v>0</v>
      </c>
      <c r="K17" s="420">
        <f t="shared" si="6"/>
        <v>0</v>
      </c>
      <c r="L17" s="421">
        <f>'[6]Table 4 Level 3'!AF17+'[6]Table 4 Level 3'!AG17+'[6]Table 4 Level 3'!AI17</f>
        <v>0</v>
      </c>
      <c r="M17" s="421">
        <f t="shared" si="3"/>
        <v>0</v>
      </c>
      <c r="N17" s="421">
        <f t="shared" si="7"/>
        <v>0</v>
      </c>
      <c r="O17" s="419">
        <f>IF(L17&lt;0,0,'Table 3 Levels 1&amp;2'!C19)</f>
        <v>1307</v>
      </c>
      <c r="P17" s="416">
        <f t="shared" si="4"/>
        <v>30425</v>
      </c>
      <c r="Q17" s="419">
        <f>'Table 3 Levels 1&amp;2'!C19</f>
        <v>1307</v>
      </c>
      <c r="R17" s="416">
        <f t="shared" si="5"/>
        <v>130700</v>
      </c>
      <c r="S17" s="416"/>
      <c r="T17" s="416">
        <f t="shared" si="8"/>
        <v>787926</v>
      </c>
      <c r="U17" s="416">
        <f>'[3]Total Pay Increase'!D18</f>
        <v>495365</v>
      </c>
      <c r="V17" s="184">
        <f>'[4]audit adjustments Feb 1  Oct 1 '!I17</f>
        <v>1499</v>
      </c>
      <c r="W17" s="416">
        <f t="shared" si="9"/>
        <v>330.46</v>
      </c>
      <c r="X17" s="1265">
        <f>W17*'Table 3 Levels 1&amp;2'!C19</f>
        <v>431911.22</v>
      </c>
      <c r="Y17" s="1265">
        <f>'[3]Total Pay Increase'!F18</f>
        <v>142081</v>
      </c>
      <c r="Z17" s="1266">
        <f t="shared" si="10"/>
        <v>1499</v>
      </c>
      <c r="AA17" s="1265">
        <f t="shared" si="11"/>
        <v>94.78</v>
      </c>
      <c r="AB17" s="1265">
        <f>AA17*'Table 3 Levels 1&amp;2'!C19</f>
        <v>123877.46</v>
      </c>
      <c r="AC17" s="1265">
        <f>'[12]Total Pay Increase'!J17</f>
        <v>223859</v>
      </c>
      <c r="AD17" s="1266">
        <f>'[8]Base Membership'!E19</f>
        <v>1288</v>
      </c>
      <c r="AE17" s="1265">
        <f t="shared" si="12"/>
        <v>173.8</v>
      </c>
      <c r="AF17" s="1265">
        <f>AE17*'Table 3 Levels 1&amp;2'!C19</f>
        <v>227156.6</v>
      </c>
      <c r="AG17" s="416">
        <f t="shared" si="13"/>
        <v>1570871.28</v>
      </c>
    </row>
    <row r="18" spans="1:33" ht="12.75">
      <c r="A18" s="124">
        <v>13</v>
      </c>
      <c r="B18" s="404" t="s">
        <v>314</v>
      </c>
      <c r="C18" s="413">
        <f>'[6]Table 4 Level 3'!E18+'[6]Table 4 Level 3'!I18+'[6]Table 4 Level 3'!M18+'[6]Table 4 Level 3'!Q18</f>
        <v>307.36</v>
      </c>
      <c r="D18" s="416">
        <f>ROUND(C18*'Table 3 Levels 1&amp;2'!C20,0)</f>
        <v>494542</v>
      </c>
      <c r="E18" s="417">
        <v>0</v>
      </c>
      <c r="F18" s="416">
        <f t="shared" si="1"/>
        <v>0</v>
      </c>
      <c r="G18" s="418"/>
      <c r="H18" s="416">
        <f t="shared" si="2"/>
        <v>0</v>
      </c>
      <c r="I18" s="420">
        <v>0</v>
      </c>
      <c r="J18" s="420">
        <v>0</v>
      </c>
      <c r="K18" s="420">
        <f t="shared" si="6"/>
        <v>0</v>
      </c>
      <c r="L18" s="421">
        <f>'[6]Table 4 Level 3'!AF18+'[6]Table 4 Level 3'!AG18+'[6]Table 4 Level 3'!AI18</f>
        <v>0</v>
      </c>
      <c r="M18" s="421">
        <f t="shared" si="3"/>
        <v>0</v>
      </c>
      <c r="N18" s="421">
        <f t="shared" si="7"/>
        <v>0</v>
      </c>
      <c r="O18" s="419">
        <f>IF(L18&lt;0,0,'Table 3 Levels 1&amp;2'!C20)</f>
        <v>1609</v>
      </c>
      <c r="P18" s="416">
        <f t="shared" si="4"/>
        <v>37455</v>
      </c>
      <c r="Q18" s="419">
        <f>'Table 3 Levels 1&amp;2'!C20</f>
        <v>1609</v>
      </c>
      <c r="R18" s="416">
        <f t="shared" si="5"/>
        <v>160900</v>
      </c>
      <c r="S18" s="416"/>
      <c r="T18" s="416">
        <f t="shared" si="8"/>
        <v>692897</v>
      </c>
      <c r="U18" s="416">
        <f>'[3]Total Pay Increase'!D19</f>
        <v>434441</v>
      </c>
      <c r="V18" s="184">
        <f>'[4]audit adjustments Feb 1  Oct 1 '!I18</f>
        <v>1698</v>
      </c>
      <c r="W18" s="416">
        <f t="shared" si="9"/>
        <v>255.85</v>
      </c>
      <c r="X18" s="1265">
        <f>W18*'Table 3 Levels 1&amp;2'!C20</f>
        <v>411662.64999999997</v>
      </c>
      <c r="Y18" s="1265">
        <f>'[3]Total Pay Increase'!F19</f>
        <v>164685</v>
      </c>
      <c r="Z18" s="1266">
        <f t="shared" si="10"/>
        <v>1698</v>
      </c>
      <c r="AA18" s="1265">
        <f t="shared" si="11"/>
        <v>96.99</v>
      </c>
      <c r="AB18" s="1265">
        <f>AA18*'Table 3 Levels 1&amp;2'!C20</f>
        <v>156056.91</v>
      </c>
      <c r="AC18" s="1265">
        <f>'[12]Total Pay Increase'!J18</f>
        <v>145084</v>
      </c>
      <c r="AD18" s="1266">
        <f>'[8]Base Membership'!E20</f>
        <v>1626</v>
      </c>
      <c r="AE18" s="1265">
        <f t="shared" si="12"/>
        <v>89.23</v>
      </c>
      <c r="AF18" s="1265">
        <f>AE18*'Table 3 Levels 1&amp;2'!C20</f>
        <v>143571.07</v>
      </c>
      <c r="AG18" s="416">
        <f t="shared" si="13"/>
        <v>1404187.63</v>
      </c>
    </row>
    <row r="19" spans="1:33" ht="12.75">
      <c r="A19" s="124">
        <v>14</v>
      </c>
      <c r="B19" s="404" t="s">
        <v>315</v>
      </c>
      <c r="C19" s="413">
        <f>'[6]Table 4 Level 3'!E19+'[6]Table 4 Level 3'!I19+'[6]Table 4 Level 3'!M19+'[6]Table 4 Level 3'!Q19</f>
        <v>345.87</v>
      </c>
      <c r="D19" s="416">
        <f>ROUND(C19*'Table 3 Levels 1&amp;2'!C21,0)</f>
        <v>772674</v>
      </c>
      <c r="E19" s="417">
        <v>0</v>
      </c>
      <c r="F19" s="416">
        <f t="shared" si="1"/>
        <v>0</v>
      </c>
      <c r="G19" s="418"/>
      <c r="H19" s="416">
        <f t="shared" si="2"/>
        <v>0</v>
      </c>
      <c r="I19" s="420">
        <v>0</v>
      </c>
      <c r="J19" s="420">
        <v>0</v>
      </c>
      <c r="K19" s="420">
        <f t="shared" si="6"/>
        <v>0</v>
      </c>
      <c r="L19" s="421">
        <f>'[6]Table 4 Level 3'!AF19+'[6]Table 4 Level 3'!AG19+'[6]Table 4 Level 3'!AI19</f>
        <v>0</v>
      </c>
      <c r="M19" s="421">
        <f t="shared" si="3"/>
        <v>0</v>
      </c>
      <c r="N19" s="421">
        <f t="shared" si="7"/>
        <v>0</v>
      </c>
      <c r="O19" s="419">
        <f>IF(L19&lt;0,0,'Table 3 Levels 1&amp;2'!C21)</f>
        <v>2234</v>
      </c>
      <c r="P19" s="416">
        <f t="shared" si="4"/>
        <v>52004</v>
      </c>
      <c r="Q19" s="419">
        <f>'Table 3 Levels 1&amp;2'!C21</f>
        <v>2234</v>
      </c>
      <c r="R19" s="416">
        <f t="shared" si="5"/>
        <v>223400</v>
      </c>
      <c r="S19" s="416"/>
      <c r="T19" s="416">
        <f t="shared" si="8"/>
        <v>1048078</v>
      </c>
      <c r="U19" s="416">
        <f>'[3]Total Pay Increase'!D20</f>
        <v>653543</v>
      </c>
      <c r="V19" s="184">
        <f>'[4]audit adjustments Feb 1  Oct 1 '!I19</f>
        <v>2386</v>
      </c>
      <c r="W19" s="416">
        <f t="shared" si="9"/>
        <v>273.91</v>
      </c>
      <c r="X19" s="1265">
        <f>W19*'Table 3 Levels 1&amp;2'!C21</f>
        <v>611914.9400000001</v>
      </c>
      <c r="Y19" s="1265">
        <f>'[3]Total Pay Increase'!F20</f>
        <v>224390</v>
      </c>
      <c r="Z19" s="1266">
        <f t="shared" si="10"/>
        <v>2386</v>
      </c>
      <c r="AA19" s="1265">
        <f t="shared" si="11"/>
        <v>94.04</v>
      </c>
      <c r="AB19" s="1265">
        <f>AA19*'Table 3 Levels 1&amp;2'!C21</f>
        <v>210085.36000000002</v>
      </c>
      <c r="AC19" s="1265">
        <f>'[12]Total Pay Increase'!J19</f>
        <v>217127</v>
      </c>
      <c r="AD19" s="1266">
        <f>'[8]Base Membership'!E21</f>
        <v>2258</v>
      </c>
      <c r="AE19" s="1265">
        <f t="shared" si="12"/>
        <v>96.16</v>
      </c>
      <c r="AF19" s="1265">
        <f>AE19*'Table 3 Levels 1&amp;2'!C21</f>
        <v>214821.44</v>
      </c>
      <c r="AG19" s="416">
        <f t="shared" si="13"/>
        <v>2084899.74</v>
      </c>
    </row>
    <row r="20" spans="1:33" ht="12.75">
      <c r="A20" s="125">
        <v>15</v>
      </c>
      <c r="B20" s="405" t="s">
        <v>316</v>
      </c>
      <c r="C20" s="422">
        <f>'[6]Table 4 Level 3'!E20+'[6]Table 4 Level 3'!I20+'[6]Table 4 Level 3'!M20+'[6]Table 4 Level 3'!Q20</f>
        <v>225.22</v>
      </c>
      <c r="D20" s="424">
        <f>ROUND(C20*'Table 3 Levels 1&amp;2'!C22,0)</f>
        <v>842773</v>
      </c>
      <c r="E20" s="425">
        <v>3</v>
      </c>
      <c r="F20" s="424">
        <f t="shared" si="1"/>
        <v>60000</v>
      </c>
      <c r="G20" s="426"/>
      <c r="H20" s="424">
        <f t="shared" si="2"/>
        <v>0</v>
      </c>
      <c r="I20" s="428">
        <v>224419</v>
      </c>
      <c r="J20" s="430">
        <v>0</v>
      </c>
      <c r="K20" s="428">
        <f t="shared" si="6"/>
        <v>224419</v>
      </c>
      <c r="L20" s="429">
        <f>'[6]Table 4 Level 3'!AF20+'[6]Table 4 Level 3'!AG20+'[6]Table 4 Level 3'!AI20</f>
        <v>-44884</v>
      </c>
      <c r="M20" s="429">
        <f t="shared" si="3"/>
        <v>179535</v>
      </c>
      <c r="N20" s="429">
        <f t="shared" si="7"/>
        <v>-22442</v>
      </c>
      <c r="O20" s="427">
        <f>IF(L20&lt;0,0,'Table 3 Levels 1&amp;2'!C22)</f>
        <v>0</v>
      </c>
      <c r="P20" s="424">
        <f t="shared" si="4"/>
        <v>0</v>
      </c>
      <c r="Q20" s="427">
        <f>'Table 3 Levels 1&amp;2'!C22</f>
        <v>3742</v>
      </c>
      <c r="R20" s="424">
        <f t="shared" si="5"/>
        <v>374200</v>
      </c>
      <c r="S20" s="424"/>
      <c r="T20" s="424">
        <f t="shared" si="8"/>
        <v>1434066</v>
      </c>
      <c r="U20" s="424">
        <f>'[3]Total Pay Increase'!D21</f>
        <v>974022</v>
      </c>
      <c r="V20" s="309">
        <f>'[4]audit adjustments Feb 1  Oct 1 '!I20</f>
        <v>3884</v>
      </c>
      <c r="W20" s="424">
        <f t="shared" si="9"/>
        <v>250.78</v>
      </c>
      <c r="X20" s="1267">
        <f>W20*'Table 3 Levels 1&amp;2'!C22</f>
        <v>938418.76</v>
      </c>
      <c r="Y20" s="1267">
        <f>'[3]Total Pay Increase'!F21</f>
        <v>302177</v>
      </c>
      <c r="Z20" s="1268">
        <f t="shared" si="10"/>
        <v>3884</v>
      </c>
      <c r="AA20" s="1267">
        <f t="shared" si="11"/>
        <v>77.8</v>
      </c>
      <c r="AB20" s="1267">
        <f>AA20*'Table 3 Levels 1&amp;2'!C22</f>
        <v>291127.6</v>
      </c>
      <c r="AC20" s="1267">
        <f>'[12]Total Pay Increase'!J20</f>
        <v>0</v>
      </c>
      <c r="AD20" s="1268">
        <f>'[8]Base Membership'!E22</f>
        <v>3747</v>
      </c>
      <c r="AE20" s="1267">
        <f t="shared" si="12"/>
        <v>0</v>
      </c>
      <c r="AF20" s="1267">
        <f>AE20*'Table 3 Levels 1&amp;2'!C22</f>
        <v>0</v>
      </c>
      <c r="AG20" s="424">
        <f t="shared" si="13"/>
        <v>2663612.36</v>
      </c>
    </row>
    <row r="21" spans="1:33" ht="12.75">
      <c r="A21" s="124">
        <v>16</v>
      </c>
      <c r="B21" s="404" t="s">
        <v>317</v>
      </c>
      <c r="C21" s="413">
        <f>'[6]Table 4 Level 3'!E21+'[6]Table 4 Level 3'!I21+'[6]Table 4 Level 3'!M21+'[6]Table 4 Level 3'!Q21</f>
        <v>236.82</v>
      </c>
      <c r="D21" s="416">
        <f>ROUND(C21*'Table 3 Levels 1&amp;2'!C23,0)</f>
        <v>1087004</v>
      </c>
      <c r="E21" s="417">
        <v>4</v>
      </c>
      <c r="F21" s="416">
        <f t="shared" si="1"/>
        <v>80000</v>
      </c>
      <c r="G21" s="418"/>
      <c r="H21" s="416">
        <f t="shared" si="2"/>
        <v>0</v>
      </c>
      <c r="I21" s="420">
        <v>0</v>
      </c>
      <c r="J21" s="420">
        <v>0</v>
      </c>
      <c r="K21" s="420">
        <f t="shared" si="6"/>
        <v>0</v>
      </c>
      <c r="L21" s="421">
        <f>'[6]Table 4 Level 3'!AF21+'[6]Table 4 Level 3'!AG21+'[6]Table 4 Level 3'!AI21</f>
        <v>0</v>
      </c>
      <c r="M21" s="421">
        <f t="shared" si="3"/>
        <v>0</v>
      </c>
      <c r="N21" s="421">
        <f t="shared" si="7"/>
        <v>0</v>
      </c>
      <c r="O21" s="419">
        <f>IF(L21&lt;0,0,'Table 3 Levels 1&amp;2'!C23)</f>
        <v>4590</v>
      </c>
      <c r="P21" s="416">
        <f t="shared" si="4"/>
        <v>106848</v>
      </c>
      <c r="Q21" s="419">
        <f>'Table 3 Levels 1&amp;2'!C23</f>
        <v>4590</v>
      </c>
      <c r="R21" s="416">
        <f t="shared" si="5"/>
        <v>459000</v>
      </c>
      <c r="S21" s="416"/>
      <c r="T21" s="416">
        <f t="shared" si="8"/>
        <v>1732852</v>
      </c>
      <c r="U21" s="416">
        <f>'[3]Total Pay Increase'!D22</f>
        <v>1154791</v>
      </c>
      <c r="V21" s="184">
        <f>'[4]audit adjustments Feb 1  Oct 1 '!I21</f>
        <v>4647</v>
      </c>
      <c r="W21" s="416">
        <f t="shared" si="9"/>
        <v>248.5</v>
      </c>
      <c r="X21" s="1265">
        <f>W21*'Table 3 Levels 1&amp;2'!C23</f>
        <v>1140615</v>
      </c>
      <c r="Y21" s="1265">
        <f>'[3]Total Pay Increase'!F22</f>
        <v>422089</v>
      </c>
      <c r="Z21" s="1266">
        <f t="shared" si="10"/>
        <v>4647</v>
      </c>
      <c r="AA21" s="1265">
        <f t="shared" si="11"/>
        <v>90.83</v>
      </c>
      <c r="AB21" s="1265">
        <f>AA21*'Table 3 Levels 1&amp;2'!C23</f>
        <v>416909.7</v>
      </c>
      <c r="AC21" s="1265">
        <f>'[12]Total Pay Increase'!J21</f>
        <v>510323</v>
      </c>
      <c r="AD21" s="1266">
        <f>'[8]Base Membership'!E23</f>
        <v>4615</v>
      </c>
      <c r="AE21" s="1265">
        <f t="shared" si="12"/>
        <v>110.58</v>
      </c>
      <c r="AF21" s="1265">
        <f>AE21*'Table 3 Levels 1&amp;2'!C23</f>
        <v>507562.2</v>
      </c>
      <c r="AG21" s="416">
        <f t="shared" si="13"/>
        <v>3797938.9000000004</v>
      </c>
    </row>
    <row r="22" spans="1:33" ht="12.75">
      <c r="A22" s="124">
        <v>17</v>
      </c>
      <c r="B22" s="404" t="s">
        <v>318</v>
      </c>
      <c r="C22" s="413">
        <f>'[6]Table 4 Level 3'!E22+'[6]Table 4 Level 3'!I22+'[6]Table 4 Level 3'!M22+'[6]Table 4 Level 3'!Q22</f>
        <v>379.13</v>
      </c>
      <c r="D22" s="416">
        <f>ROUND(C22*'Table 3 Levels 1&amp;2'!C24,0)</f>
        <v>16265435</v>
      </c>
      <c r="E22" s="417">
        <v>10</v>
      </c>
      <c r="F22" s="416">
        <f t="shared" si="1"/>
        <v>200000</v>
      </c>
      <c r="G22" s="418"/>
      <c r="H22" s="416">
        <f t="shared" si="2"/>
        <v>0</v>
      </c>
      <c r="I22" s="420">
        <v>25595514</v>
      </c>
      <c r="J22" s="420">
        <v>13580692</v>
      </c>
      <c r="K22" s="420">
        <f t="shared" si="6"/>
        <v>12014822</v>
      </c>
      <c r="L22" s="421">
        <f>'[6]Table 4 Level 3'!AF22+'[6]Table 4 Level 3'!AG22+'[6]Table 4 Level 3'!AI22</f>
        <v>-2402964</v>
      </c>
      <c r="M22" s="421">
        <f t="shared" si="3"/>
        <v>9611858</v>
      </c>
      <c r="N22" s="421">
        <f t="shared" si="7"/>
        <v>-1201482</v>
      </c>
      <c r="O22" s="419">
        <f>IF(L22&lt;0,0,'Table 3 Levels 1&amp;2'!C24)</f>
        <v>0</v>
      </c>
      <c r="P22" s="416">
        <f t="shared" si="4"/>
        <v>0</v>
      </c>
      <c r="Q22" s="419">
        <f>'Table 3 Levels 1&amp;2'!C24</f>
        <v>42902</v>
      </c>
      <c r="R22" s="416">
        <f t="shared" si="5"/>
        <v>4290200</v>
      </c>
      <c r="S22" s="416"/>
      <c r="T22" s="416">
        <f t="shared" si="8"/>
        <v>42746703</v>
      </c>
      <c r="U22" s="416">
        <f>'[3]Total Pay Increase'!D23</f>
        <v>10945344</v>
      </c>
      <c r="V22" s="184">
        <f>'[4]audit adjustments Feb 1  Oct 1 '!I22</f>
        <v>44094</v>
      </c>
      <c r="W22" s="416">
        <f t="shared" si="9"/>
        <v>248.23</v>
      </c>
      <c r="X22" s="1265">
        <f>W22*'Table 3 Levels 1&amp;2'!C24</f>
        <v>10649563.459999999</v>
      </c>
      <c r="Y22" s="1265">
        <f>'[3]Total Pay Increase'!F23</f>
        <v>2690318</v>
      </c>
      <c r="Z22" s="1266">
        <f t="shared" si="10"/>
        <v>44094</v>
      </c>
      <c r="AA22" s="1265">
        <f t="shared" si="11"/>
        <v>61.01</v>
      </c>
      <c r="AB22" s="1265">
        <f>AA22*'Table 3 Levels 1&amp;2'!C24</f>
        <v>2617451.02</v>
      </c>
      <c r="AC22" s="1265">
        <f>'[12]Total Pay Increase'!J22</f>
        <v>4775517</v>
      </c>
      <c r="AD22" s="1266"/>
      <c r="AE22" s="1265"/>
      <c r="AF22" s="1265">
        <f>AE22*'Table 3 Levels 1&amp;2'!C24+'Table 5B2_RSD_LA'!N18</f>
        <v>4834389.275474859</v>
      </c>
      <c r="AG22" s="416">
        <f t="shared" si="13"/>
        <v>60848106.755474865</v>
      </c>
    </row>
    <row r="23" spans="1:33" ht="12.75">
      <c r="A23" s="124">
        <v>18</v>
      </c>
      <c r="B23" s="404" t="s">
        <v>319</v>
      </c>
      <c r="C23" s="413">
        <f>'[6]Table 4 Level 3'!E23+'[6]Table 4 Level 3'!I23+'[6]Table 4 Level 3'!M23+'[6]Table 4 Level 3'!Q23</f>
        <v>330.49</v>
      </c>
      <c r="D23" s="416">
        <f>ROUND(C23*'Table 3 Levels 1&amp;2'!C25,0)</f>
        <v>437899</v>
      </c>
      <c r="E23" s="417">
        <v>2</v>
      </c>
      <c r="F23" s="416">
        <f t="shared" si="1"/>
        <v>40000</v>
      </c>
      <c r="G23" s="418"/>
      <c r="H23" s="416">
        <f t="shared" si="2"/>
        <v>0</v>
      </c>
      <c r="I23" s="420">
        <v>0</v>
      </c>
      <c r="J23" s="420">
        <v>0</v>
      </c>
      <c r="K23" s="420">
        <f t="shared" si="6"/>
        <v>0</v>
      </c>
      <c r="L23" s="421">
        <f>'[6]Table 4 Level 3'!AF23+'[6]Table 4 Level 3'!AG23+'[6]Table 4 Level 3'!AI23</f>
        <v>0</v>
      </c>
      <c r="M23" s="421">
        <f t="shared" si="3"/>
        <v>0</v>
      </c>
      <c r="N23" s="421">
        <f t="shared" si="7"/>
        <v>0</v>
      </c>
      <c r="O23" s="419">
        <f>IF(L23&lt;0,0,'Table 3 Levels 1&amp;2'!C25)</f>
        <v>1325</v>
      </c>
      <c r="P23" s="416">
        <f t="shared" si="4"/>
        <v>30844</v>
      </c>
      <c r="Q23" s="419">
        <f>'Table 3 Levels 1&amp;2'!C25</f>
        <v>1325</v>
      </c>
      <c r="R23" s="416">
        <f t="shared" si="5"/>
        <v>132500</v>
      </c>
      <c r="S23" s="416"/>
      <c r="T23" s="416">
        <f t="shared" si="8"/>
        <v>641243</v>
      </c>
      <c r="U23" s="416">
        <f>'[3]Total Pay Increase'!D24</f>
        <v>385841</v>
      </c>
      <c r="V23" s="184">
        <f>'[4]audit adjustments Feb 1  Oct 1 '!I23</f>
        <v>1378</v>
      </c>
      <c r="W23" s="416">
        <f t="shared" si="9"/>
        <v>280</v>
      </c>
      <c r="X23" s="1265">
        <f>W23*'Table 3 Levels 1&amp;2'!C25</f>
        <v>371000</v>
      </c>
      <c r="Y23" s="1265">
        <f>'[3]Total Pay Increase'!F24</f>
        <v>167312</v>
      </c>
      <c r="Z23" s="1266">
        <f t="shared" si="10"/>
        <v>1378</v>
      </c>
      <c r="AA23" s="1265">
        <f t="shared" si="11"/>
        <v>121.42</v>
      </c>
      <c r="AB23" s="1265">
        <f>AA23*'Table 3 Levels 1&amp;2'!C25</f>
        <v>160881.5</v>
      </c>
      <c r="AC23" s="1265">
        <f>'[12]Total Pay Increase'!J23</f>
        <v>153155</v>
      </c>
      <c r="AD23" s="1266">
        <f>'[8]Base Membership'!E25</f>
        <v>1343</v>
      </c>
      <c r="AE23" s="1265">
        <f t="shared" si="12"/>
        <v>114.04</v>
      </c>
      <c r="AF23" s="1265">
        <f>AE23*'Table 3 Levels 1&amp;2'!C25</f>
        <v>151103</v>
      </c>
      <c r="AG23" s="416">
        <f t="shared" si="13"/>
        <v>1324227.5</v>
      </c>
    </row>
    <row r="24" spans="1:33" ht="12.75">
      <c r="A24" s="124">
        <v>19</v>
      </c>
      <c r="B24" s="404" t="s">
        <v>320</v>
      </c>
      <c r="C24" s="413">
        <f>'[6]Table 4 Level 3'!E24+'[6]Table 4 Level 3'!I24+'[6]Table 4 Level 3'!M24+'[6]Table 4 Level 3'!Q24</f>
        <v>412.85</v>
      </c>
      <c r="D24" s="416">
        <f>ROUND(C24*'Table 3 Levels 1&amp;2'!C26,0)</f>
        <v>866572</v>
      </c>
      <c r="E24" s="417">
        <v>0</v>
      </c>
      <c r="F24" s="416">
        <f t="shared" si="1"/>
        <v>0</v>
      </c>
      <c r="G24" s="418"/>
      <c r="H24" s="416">
        <f t="shared" si="2"/>
        <v>0</v>
      </c>
      <c r="I24" s="420">
        <v>0</v>
      </c>
      <c r="J24" s="420">
        <v>0</v>
      </c>
      <c r="K24" s="420">
        <f t="shared" si="6"/>
        <v>0</v>
      </c>
      <c r="L24" s="421">
        <f>'[6]Table 4 Level 3'!AF24+'[6]Table 4 Level 3'!AG24+'[6]Table 4 Level 3'!AI24</f>
        <v>0</v>
      </c>
      <c r="M24" s="421">
        <f t="shared" si="3"/>
        <v>0</v>
      </c>
      <c r="N24" s="421">
        <f t="shared" si="7"/>
        <v>0</v>
      </c>
      <c r="O24" s="419">
        <f>IF(L24&lt;0,0,'Table 3 Levels 1&amp;2'!C26)</f>
        <v>2099</v>
      </c>
      <c r="P24" s="416">
        <f t="shared" si="4"/>
        <v>48861</v>
      </c>
      <c r="Q24" s="419">
        <f>'Table 3 Levels 1&amp;2'!C26</f>
        <v>2099</v>
      </c>
      <c r="R24" s="416">
        <f t="shared" si="5"/>
        <v>209900</v>
      </c>
      <c r="S24" s="416"/>
      <c r="T24" s="416">
        <f t="shared" si="8"/>
        <v>1125333</v>
      </c>
      <c r="U24" s="416">
        <f>'[3]Total Pay Increase'!D25</f>
        <v>622247</v>
      </c>
      <c r="V24" s="184">
        <f>'[4]audit adjustments Feb 1  Oct 1 '!I24</f>
        <v>2182</v>
      </c>
      <c r="W24" s="416">
        <f t="shared" si="9"/>
        <v>285.17</v>
      </c>
      <c r="X24" s="1265">
        <f>W24*'Table 3 Levels 1&amp;2'!C26</f>
        <v>598571.8300000001</v>
      </c>
      <c r="Y24" s="1265">
        <f>'[3]Total Pay Increase'!F25</f>
        <v>197158</v>
      </c>
      <c r="Z24" s="1266">
        <f t="shared" si="10"/>
        <v>2182</v>
      </c>
      <c r="AA24" s="1265">
        <f t="shared" si="11"/>
        <v>90.36</v>
      </c>
      <c r="AB24" s="1265">
        <f>AA24*'Table 3 Levels 1&amp;2'!C26</f>
        <v>189665.63999999998</v>
      </c>
      <c r="AC24" s="1265">
        <f>'[12]Total Pay Increase'!J24</f>
        <v>247921</v>
      </c>
      <c r="AD24" s="1266">
        <f>'[8]Base Membership'!E26</f>
        <v>2118</v>
      </c>
      <c r="AE24" s="1265">
        <f t="shared" si="12"/>
        <v>117.05</v>
      </c>
      <c r="AF24" s="1265">
        <f>AE24*'Table 3 Levels 1&amp;2'!C26</f>
        <v>245687.94999999998</v>
      </c>
      <c r="AG24" s="416">
        <f t="shared" si="13"/>
        <v>2159258.42</v>
      </c>
    </row>
    <row r="25" spans="1:33" ht="12.75">
      <c r="A25" s="125">
        <v>20</v>
      </c>
      <c r="B25" s="405" t="s">
        <v>321</v>
      </c>
      <c r="C25" s="422">
        <f>'[6]Table 4 Level 3'!E25+'[6]Table 4 Level 3'!I25+'[6]Table 4 Level 3'!M25+'[6]Table 4 Level 3'!Q25</f>
        <v>219.62</v>
      </c>
      <c r="D25" s="424">
        <f>ROUND(C25*'Table 3 Levels 1&amp;2'!C27,0)</f>
        <v>1244587</v>
      </c>
      <c r="E25" s="425">
        <v>0</v>
      </c>
      <c r="F25" s="424">
        <f t="shared" si="1"/>
        <v>0</v>
      </c>
      <c r="G25" s="426"/>
      <c r="H25" s="424">
        <f t="shared" si="2"/>
        <v>0</v>
      </c>
      <c r="I25" s="428">
        <v>175620</v>
      </c>
      <c r="J25" s="428">
        <v>0</v>
      </c>
      <c r="K25" s="428">
        <f t="shared" si="6"/>
        <v>175620</v>
      </c>
      <c r="L25" s="429">
        <f>'[6]Table 4 Level 3'!AF25+'[6]Table 4 Level 3'!AG25+'[6]Table 4 Level 3'!AI25</f>
        <v>-35124</v>
      </c>
      <c r="M25" s="429">
        <f t="shared" si="3"/>
        <v>140496</v>
      </c>
      <c r="N25" s="429">
        <f t="shared" si="7"/>
        <v>-17562</v>
      </c>
      <c r="O25" s="427">
        <f>IF(L25&lt;0,0,'Table 3 Levels 1&amp;2'!C27)</f>
        <v>0</v>
      </c>
      <c r="P25" s="424">
        <f t="shared" si="4"/>
        <v>0</v>
      </c>
      <c r="Q25" s="427">
        <f>'Table 3 Levels 1&amp;2'!C27</f>
        <v>5667</v>
      </c>
      <c r="R25" s="424">
        <f t="shared" si="5"/>
        <v>566700</v>
      </c>
      <c r="S25" s="424"/>
      <c r="T25" s="424">
        <f t="shared" si="8"/>
        <v>1934221</v>
      </c>
      <c r="U25" s="424">
        <f>'[3]Total Pay Increase'!D26</f>
        <v>1525857</v>
      </c>
      <c r="V25" s="309">
        <f>'[4]audit adjustments Feb 1  Oct 1 '!I25</f>
        <v>5850</v>
      </c>
      <c r="W25" s="424">
        <f t="shared" si="9"/>
        <v>260.83</v>
      </c>
      <c r="X25" s="1267">
        <f>W25*'Table 3 Levels 1&amp;2'!C27</f>
        <v>1478123.6099999999</v>
      </c>
      <c r="Y25" s="1267">
        <f>'[3]Total Pay Increase'!F26</f>
        <v>418074</v>
      </c>
      <c r="Z25" s="1268">
        <f t="shared" si="10"/>
        <v>5850</v>
      </c>
      <c r="AA25" s="1267">
        <f t="shared" si="11"/>
        <v>71.47</v>
      </c>
      <c r="AB25" s="1267">
        <f>AA25*'Table 3 Levels 1&amp;2'!C27</f>
        <v>405020.49</v>
      </c>
      <c r="AC25" s="1267">
        <f>'[12]Total Pay Increase'!J25</f>
        <v>197169</v>
      </c>
      <c r="AD25" s="1268">
        <f>'[8]Base Membership'!E27</f>
        <v>5756</v>
      </c>
      <c r="AE25" s="1267">
        <f t="shared" si="12"/>
        <v>34.25</v>
      </c>
      <c r="AF25" s="1267">
        <f>AE25*'Table 3 Levels 1&amp;2'!C27</f>
        <v>194094.75</v>
      </c>
      <c r="AG25" s="424">
        <f t="shared" si="13"/>
        <v>4011459.8499999996</v>
      </c>
    </row>
    <row r="26" spans="1:33" ht="12.75">
      <c r="A26" s="124">
        <v>21</v>
      </c>
      <c r="B26" s="404" t="s">
        <v>322</v>
      </c>
      <c r="C26" s="413">
        <f>'[6]Table 4 Level 3'!E26+'[6]Table 4 Level 3'!I26+'[6]Table 4 Level 3'!M26+'[6]Table 4 Level 3'!Q26</f>
        <v>293.53</v>
      </c>
      <c r="D26" s="416">
        <f>ROUND(C26*'Table 3 Levels 1&amp;2'!C28,0)</f>
        <v>881471</v>
      </c>
      <c r="E26" s="417">
        <v>0</v>
      </c>
      <c r="F26" s="416">
        <f t="shared" si="1"/>
        <v>0</v>
      </c>
      <c r="G26" s="418"/>
      <c r="H26" s="416">
        <f t="shared" si="2"/>
        <v>0</v>
      </c>
      <c r="I26" s="420">
        <v>0</v>
      </c>
      <c r="J26" s="420">
        <v>0</v>
      </c>
      <c r="K26" s="420">
        <f t="shared" si="6"/>
        <v>0</v>
      </c>
      <c r="L26" s="421">
        <f>'[6]Table 4 Level 3'!AF26+'[6]Table 4 Level 3'!AG26+'[6]Table 4 Level 3'!AI26</f>
        <v>0</v>
      </c>
      <c r="M26" s="421">
        <f t="shared" si="3"/>
        <v>0</v>
      </c>
      <c r="N26" s="421">
        <f t="shared" si="7"/>
        <v>0</v>
      </c>
      <c r="O26" s="419">
        <f>IF(L26&lt;0,0,'Table 3 Levels 1&amp;2'!C28)</f>
        <v>3003</v>
      </c>
      <c r="P26" s="416">
        <f t="shared" si="4"/>
        <v>69905</v>
      </c>
      <c r="Q26" s="419">
        <f>'Table 3 Levels 1&amp;2'!C28</f>
        <v>3003</v>
      </c>
      <c r="R26" s="416">
        <f t="shared" si="5"/>
        <v>300300</v>
      </c>
      <c r="S26" s="416"/>
      <c r="T26" s="416">
        <f t="shared" si="8"/>
        <v>1251676</v>
      </c>
      <c r="U26" s="416">
        <f>'[3]Total Pay Increase'!D27</f>
        <v>703223</v>
      </c>
      <c r="V26" s="184">
        <f>'[4]audit adjustments Feb 1  Oct 1 '!I26</f>
        <v>3184</v>
      </c>
      <c r="W26" s="416">
        <f t="shared" si="9"/>
        <v>220.86</v>
      </c>
      <c r="X26" s="1265">
        <f>W26*'Table 3 Levels 1&amp;2'!C28</f>
        <v>663242.5800000001</v>
      </c>
      <c r="Y26" s="1265">
        <f>'[3]Total Pay Increase'!F27</f>
        <v>277458</v>
      </c>
      <c r="Z26" s="1266">
        <f t="shared" si="10"/>
        <v>3184</v>
      </c>
      <c r="AA26" s="1265">
        <f t="shared" si="11"/>
        <v>87.14</v>
      </c>
      <c r="AB26" s="1265">
        <f>AA26*'Table 3 Levels 1&amp;2'!C28</f>
        <v>261681.42</v>
      </c>
      <c r="AC26" s="1265">
        <f>'[12]Total Pay Increase'!J26</f>
        <v>27004</v>
      </c>
      <c r="AD26" s="1266">
        <f>'[8]Base Membership'!E28</f>
        <v>3063</v>
      </c>
      <c r="AE26" s="1265">
        <f t="shared" si="12"/>
        <v>8.82</v>
      </c>
      <c r="AF26" s="1265">
        <f>AE26*'Table 3 Levels 1&amp;2'!C28</f>
        <v>26486.46</v>
      </c>
      <c r="AG26" s="416">
        <f t="shared" si="13"/>
        <v>2203086.46</v>
      </c>
    </row>
    <row r="27" spans="1:33" ht="12.75">
      <c r="A27" s="124">
        <v>22</v>
      </c>
      <c r="B27" s="404" t="s">
        <v>323</v>
      </c>
      <c r="C27" s="413">
        <f>'[6]Table 4 Level 3'!E27+'[6]Table 4 Level 3'!I27+'[6]Table 4 Level 3'!M27+'[6]Table 4 Level 3'!Q27</f>
        <v>204.48000000000002</v>
      </c>
      <c r="D27" s="416">
        <f>ROUND(C27*'Table 3 Levels 1&amp;2'!C29,0)</f>
        <v>691960</v>
      </c>
      <c r="E27" s="417">
        <v>0</v>
      </c>
      <c r="F27" s="416">
        <f t="shared" si="1"/>
        <v>0</v>
      </c>
      <c r="G27" s="418"/>
      <c r="H27" s="416">
        <f t="shared" si="2"/>
        <v>0</v>
      </c>
      <c r="I27" s="420">
        <v>0</v>
      </c>
      <c r="J27" s="420">
        <v>0</v>
      </c>
      <c r="K27" s="420">
        <f t="shared" si="6"/>
        <v>0</v>
      </c>
      <c r="L27" s="421">
        <f>'[6]Table 4 Level 3'!AF27+'[6]Table 4 Level 3'!AG27+'[6]Table 4 Level 3'!AI27</f>
        <v>0</v>
      </c>
      <c r="M27" s="421">
        <f t="shared" si="3"/>
        <v>0</v>
      </c>
      <c r="N27" s="421">
        <f t="shared" si="7"/>
        <v>0</v>
      </c>
      <c r="O27" s="419">
        <f>IF(L27&lt;0,0,'Table 3 Levels 1&amp;2'!C29)</f>
        <v>3384</v>
      </c>
      <c r="P27" s="416">
        <f t="shared" si="4"/>
        <v>78774</v>
      </c>
      <c r="Q27" s="419">
        <f>'Table 3 Levels 1&amp;2'!C29</f>
        <v>3384</v>
      </c>
      <c r="R27" s="416">
        <f t="shared" si="5"/>
        <v>338400</v>
      </c>
      <c r="S27" s="416"/>
      <c r="T27" s="416">
        <f t="shared" si="8"/>
        <v>1109134</v>
      </c>
      <c r="U27" s="416">
        <f>'[3]Total Pay Increase'!D28</f>
        <v>749082</v>
      </c>
      <c r="V27" s="184">
        <f>'[4]audit adjustments Feb 1  Oct 1 '!I27</f>
        <v>3365</v>
      </c>
      <c r="W27" s="416">
        <f t="shared" si="9"/>
        <v>222.61</v>
      </c>
      <c r="X27" s="1265">
        <f>W27*'Table 3 Levels 1&amp;2'!C29</f>
        <v>753312.24</v>
      </c>
      <c r="Y27" s="1265">
        <f>'[3]Total Pay Increase'!F28</f>
        <v>233100</v>
      </c>
      <c r="Z27" s="1266">
        <f t="shared" si="10"/>
        <v>3365</v>
      </c>
      <c r="AA27" s="1265">
        <f t="shared" si="11"/>
        <v>69.27</v>
      </c>
      <c r="AB27" s="1265">
        <f>AA27*'Table 3 Levels 1&amp;2'!C29</f>
        <v>234409.68</v>
      </c>
      <c r="AC27" s="1265">
        <f>'[12]Total Pay Increase'!J27</f>
        <v>0</v>
      </c>
      <c r="AD27" s="1266">
        <f>'[8]Base Membership'!E29</f>
        <v>3415</v>
      </c>
      <c r="AE27" s="1265">
        <f t="shared" si="12"/>
        <v>0</v>
      </c>
      <c r="AF27" s="1265">
        <f>AE27*'Table 3 Levels 1&amp;2'!C29</f>
        <v>0</v>
      </c>
      <c r="AG27" s="416">
        <f t="shared" si="13"/>
        <v>2096855.92</v>
      </c>
    </row>
    <row r="28" spans="1:33" ht="12.75">
      <c r="A28" s="124">
        <v>23</v>
      </c>
      <c r="B28" s="404" t="s">
        <v>324</v>
      </c>
      <c r="C28" s="413">
        <f>'[6]Table 4 Level 3'!E28+'[6]Table 4 Level 3'!I28+'[6]Table 4 Level 3'!M28+'[6]Table 4 Level 3'!Q28</f>
        <v>265.32</v>
      </c>
      <c r="D28" s="416">
        <f>ROUND(C28*'Table 3 Levels 1&amp;2'!C30,0)</f>
        <v>3537512</v>
      </c>
      <c r="E28" s="417">
        <v>11</v>
      </c>
      <c r="F28" s="416">
        <f t="shared" si="1"/>
        <v>220000</v>
      </c>
      <c r="G28" s="418"/>
      <c r="H28" s="416">
        <f t="shared" si="2"/>
        <v>0</v>
      </c>
      <c r="I28" s="420">
        <v>0</v>
      </c>
      <c r="J28" s="420">
        <v>0</v>
      </c>
      <c r="K28" s="420">
        <f t="shared" si="6"/>
        <v>0</v>
      </c>
      <c r="L28" s="421">
        <f>'[6]Table 4 Level 3'!AF28+'[6]Table 4 Level 3'!AG28+'[6]Table 4 Level 3'!AI28</f>
        <v>0</v>
      </c>
      <c r="M28" s="421">
        <f t="shared" si="3"/>
        <v>0</v>
      </c>
      <c r="N28" s="421">
        <f t="shared" si="7"/>
        <v>0</v>
      </c>
      <c r="O28" s="419">
        <f>IF(L28&lt;0,0,'Table 3 Levels 1&amp;2'!C30)</f>
        <v>13333</v>
      </c>
      <c r="P28" s="416">
        <f t="shared" si="4"/>
        <v>310371</v>
      </c>
      <c r="Q28" s="419">
        <f>'Table 3 Levels 1&amp;2'!C30</f>
        <v>13333</v>
      </c>
      <c r="R28" s="416">
        <f t="shared" si="5"/>
        <v>1333300</v>
      </c>
      <c r="S28" s="416"/>
      <c r="T28" s="416">
        <f t="shared" si="8"/>
        <v>5401183</v>
      </c>
      <c r="U28" s="416">
        <f>'[3]Total Pay Increase'!D29</f>
        <v>3432564</v>
      </c>
      <c r="V28" s="184">
        <f>'[4]audit adjustments Feb 1  Oct 1 '!I28</f>
        <v>13568</v>
      </c>
      <c r="W28" s="416">
        <f t="shared" si="9"/>
        <v>252.99</v>
      </c>
      <c r="X28" s="416">
        <f>W28*'Table 3 Levels 1&amp;2'!C30</f>
        <v>3373115.67</v>
      </c>
      <c r="Y28" s="416">
        <f>'[3]Total Pay Increase'!F29</f>
        <v>838799</v>
      </c>
      <c r="Z28" s="184">
        <f t="shared" si="10"/>
        <v>13568</v>
      </c>
      <c r="AA28" s="416">
        <f t="shared" si="11"/>
        <v>61.82</v>
      </c>
      <c r="AB28" s="416">
        <f>AA28*'Table 3 Levels 1&amp;2'!C30</f>
        <v>824246.06</v>
      </c>
      <c r="AC28" s="416">
        <f>'[12]Total Pay Increase'!J28</f>
        <v>1458811</v>
      </c>
      <c r="AD28" s="184">
        <f>'[8]Base Membership'!E30</f>
        <v>13452</v>
      </c>
      <c r="AE28" s="416">
        <f t="shared" si="12"/>
        <v>108.45</v>
      </c>
      <c r="AF28" s="416">
        <f>AE28*'Table 3 Levels 1&amp;2'!C30</f>
        <v>1445963.85</v>
      </c>
      <c r="AG28" s="416">
        <f t="shared" si="13"/>
        <v>11044508.58</v>
      </c>
    </row>
    <row r="29" spans="1:33" ht="12.75">
      <c r="A29" s="124">
        <v>24</v>
      </c>
      <c r="B29" s="404" t="s">
        <v>325</v>
      </c>
      <c r="C29" s="413">
        <f>'[6]Table 4 Level 3'!E29+'[6]Table 4 Level 3'!I29+'[6]Table 4 Level 3'!M29+'[6]Table 4 Level 3'!Q29</f>
        <v>393.5799999999999</v>
      </c>
      <c r="D29" s="416">
        <f>ROUND(C29*'Table 3 Levels 1&amp;2'!C31,0)</f>
        <v>1629028</v>
      </c>
      <c r="E29" s="417">
        <v>0</v>
      </c>
      <c r="F29" s="416">
        <f t="shared" si="1"/>
        <v>0</v>
      </c>
      <c r="G29" s="418"/>
      <c r="H29" s="416">
        <f t="shared" si="2"/>
        <v>0</v>
      </c>
      <c r="I29" s="420">
        <v>2421938</v>
      </c>
      <c r="J29" s="420">
        <v>1654734</v>
      </c>
      <c r="K29" s="420">
        <f t="shared" si="6"/>
        <v>767204</v>
      </c>
      <c r="L29" s="421">
        <f>'[6]Table 4 Level 3'!AF29+'[6]Table 4 Level 3'!AG29+'[6]Table 4 Level 3'!AI29</f>
        <v>-153440</v>
      </c>
      <c r="M29" s="421">
        <f t="shared" si="3"/>
        <v>613764</v>
      </c>
      <c r="N29" s="421">
        <f t="shared" si="7"/>
        <v>-76721</v>
      </c>
      <c r="O29" s="419">
        <f>IF(L29&lt;0,0,'Table 3 Levels 1&amp;2'!C31)</f>
        <v>0</v>
      </c>
      <c r="P29" s="416">
        <f t="shared" si="4"/>
        <v>0</v>
      </c>
      <c r="Q29" s="419">
        <f>'Table 3 Levels 1&amp;2'!C31</f>
        <v>4139</v>
      </c>
      <c r="R29" s="416">
        <f t="shared" si="5"/>
        <v>413900</v>
      </c>
      <c r="S29" s="416"/>
      <c r="T29" s="416">
        <f t="shared" si="8"/>
        <v>4234705</v>
      </c>
      <c r="U29" s="416">
        <f>'[3]Total Pay Increase'!D30</f>
        <v>1052315</v>
      </c>
      <c r="V29" s="184">
        <f>'[4]audit adjustments Feb 1  Oct 1 '!I29</f>
        <v>4050</v>
      </c>
      <c r="W29" s="416">
        <f t="shared" si="9"/>
        <v>259.83</v>
      </c>
      <c r="X29" s="416">
        <f>W29*'Table 3 Levels 1&amp;2'!C31</f>
        <v>1075436.3699999999</v>
      </c>
      <c r="Y29" s="416">
        <f>'[3]Total Pay Increase'!F30</f>
        <v>316622</v>
      </c>
      <c r="Z29" s="184">
        <f t="shared" si="10"/>
        <v>4050</v>
      </c>
      <c r="AA29" s="416">
        <f t="shared" si="11"/>
        <v>78.18</v>
      </c>
      <c r="AB29" s="416">
        <f>AA29*'Table 3 Levels 1&amp;2'!C31</f>
        <v>323587.02</v>
      </c>
      <c r="AC29" s="416">
        <f>'[12]Total Pay Increase'!J29</f>
        <v>506086</v>
      </c>
      <c r="AD29" s="184">
        <f>'[8]Base Membership'!E31</f>
        <v>4126</v>
      </c>
      <c r="AE29" s="416">
        <f t="shared" si="12"/>
        <v>122.66</v>
      </c>
      <c r="AF29" s="416">
        <f>AE29*'Table 3 Levels 1&amp;2'!C31</f>
        <v>507689.74</v>
      </c>
      <c r="AG29" s="416">
        <f t="shared" si="13"/>
        <v>6141418.130000001</v>
      </c>
    </row>
    <row r="30" spans="1:33" ht="12.75">
      <c r="A30" s="125">
        <v>25</v>
      </c>
      <c r="B30" s="405" t="s">
        <v>326</v>
      </c>
      <c r="C30" s="422">
        <f>'[6]Table 4 Level 3'!E30+'[6]Table 4 Level 3'!I30+'[6]Table 4 Level 3'!M30+'[6]Table 4 Level 3'!Q30</f>
        <v>225.5</v>
      </c>
      <c r="D30" s="424">
        <f>ROUND(C30*'Table 3 Levels 1&amp;2'!C32,0)</f>
        <v>494296</v>
      </c>
      <c r="E30" s="425">
        <v>0</v>
      </c>
      <c r="F30" s="424">
        <f t="shared" si="1"/>
        <v>0</v>
      </c>
      <c r="G30" s="426"/>
      <c r="H30" s="424">
        <f t="shared" si="2"/>
        <v>0</v>
      </c>
      <c r="I30" s="428">
        <v>0</v>
      </c>
      <c r="J30" s="428">
        <v>0</v>
      </c>
      <c r="K30" s="428">
        <f t="shared" si="6"/>
        <v>0</v>
      </c>
      <c r="L30" s="429">
        <f>'[6]Table 4 Level 3'!AF30+'[6]Table 4 Level 3'!AG30+'[6]Table 4 Level 3'!AI30</f>
        <v>0</v>
      </c>
      <c r="M30" s="429">
        <f t="shared" si="3"/>
        <v>0</v>
      </c>
      <c r="N30" s="429">
        <f t="shared" si="7"/>
        <v>0</v>
      </c>
      <c r="O30" s="427">
        <f>IF(L30&lt;0,0,'Table 3 Levels 1&amp;2'!C32)</f>
        <v>2192</v>
      </c>
      <c r="P30" s="424">
        <f t="shared" si="4"/>
        <v>51026</v>
      </c>
      <c r="Q30" s="427">
        <f>'Table 3 Levels 1&amp;2'!C32</f>
        <v>2192</v>
      </c>
      <c r="R30" s="424">
        <f t="shared" si="5"/>
        <v>219200</v>
      </c>
      <c r="S30" s="424"/>
      <c r="T30" s="424">
        <f t="shared" si="8"/>
        <v>764522</v>
      </c>
      <c r="U30" s="424">
        <f>'[3]Total Pay Increase'!D31</f>
        <v>549872</v>
      </c>
      <c r="V30" s="309">
        <f>'[4]audit adjustments Feb 1  Oct 1 '!I30</f>
        <v>2221</v>
      </c>
      <c r="W30" s="424">
        <f t="shared" si="9"/>
        <v>247.58</v>
      </c>
      <c r="X30" s="424">
        <f>W30*'Table 3 Levels 1&amp;2'!C32</f>
        <v>542695.36</v>
      </c>
      <c r="Y30" s="424">
        <f>'[3]Total Pay Increase'!F31</f>
        <v>172248</v>
      </c>
      <c r="Z30" s="309">
        <f t="shared" si="10"/>
        <v>2221</v>
      </c>
      <c r="AA30" s="424">
        <f t="shared" si="11"/>
        <v>77.55</v>
      </c>
      <c r="AB30" s="424">
        <f>AA30*'Table 3 Levels 1&amp;2'!C32</f>
        <v>169989.6</v>
      </c>
      <c r="AC30" s="424">
        <f>'[12]Total Pay Increase'!J30</f>
        <v>226095</v>
      </c>
      <c r="AD30" s="309">
        <f>'[8]Base Membership'!E32</f>
        <v>2193</v>
      </c>
      <c r="AE30" s="424">
        <f t="shared" si="12"/>
        <v>103.1</v>
      </c>
      <c r="AF30" s="424">
        <f>AE30*'Table 3 Levels 1&amp;2'!C32</f>
        <v>225995.19999999998</v>
      </c>
      <c r="AG30" s="424">
        <f t="shared" si="13"/>
        <v>1703202.16</v>
      </c>
    </row>
    <row r="31" spans="1:33" ht="12.75">
      <c r="A31" s="124">
        <v>26</v>
      </c>
      <c r="B31" s="404" t="s">
        <v>327</v>
      </c>
      <c r="C31" s="413">
        <f>'[6]Table 4 Level 3'!E31+'[6]Table 4 Level 3'!I31+'[6]Table 4 Level 3'!M31+'[6]Table 4 Level 3'!Q31</f>
        <v>385.00000000000006</v>
      </c>
      <c r="D31" s="416">
        <f>ROUND(C31*'Table 3 Levels 1&amp;2'!C33,0)</f>
        <v>16089150</v>
      </c>
      <c r="E31" s="417">
        <v>21</v>
      </c>
      <c r="F31" s="416">
        <f t="shared" si="1"/>
        <v>420000</v>
      </c>
      <c r="G31" s="418"/>
      <c r="H31" s="416">
        <f t="shared" si="2"/>
        <v>0</v>
      </c>
      <c r="I31" s="420">
        <v>23386991</v>
      </c>
      <c r="J31" s="420">
        <v>14897747</v>
      </c>
      <c r="K31" s="420">
        <f t="shared" si="6"/>
        <v>8489244</v>
      </c>
      <c r="L31" s="421">
        <f>'[6]Table 4 Level 3'!AF31+'[6]Table 4 Level 3'!AG31+'[6]Table 4 Level 3'!AI31</f>
        <v>-1697848</v>
      </c>
      <c r="M31" s="421">
        <f t="shared" si="3"/>
        <v>6791396</v>
      </c>
      <c r="N31" s="421">
        <f t="shared" si="7"/>
        <v>-848925</v>
      </c>
      <c r="O31" s="419">
        <f>IF(L31&lt;0,0,'Table 3 Levels 1&amp;2'!C33)</f>
        <v>0</v>
      </c>
      <c r="P31" s="416">
        <f t="shared" si="4"/>
        <v>0</v>
      </c>
      <c r="Q31" s="419">
        <f>'Table 3 Levels 1&amp;2'!C33</f>
        <v>41790</v>
      </c>
      <c r="R31" s="416">
        <f t="shared" si="5"/>
        <v>4179000</v>
      </c>
      <c r="S31" s="416"/>
      <c r="T31" s="416">
        <f t="shared" si="8"/>
        <v>41528368</v>
      </c>
      <c r="U31" s="416">
        <f>'[3]Total Pay Increase'!D32</f>
        <v>11050836</v>
      </c>
      <c r="V31" s="184">
        <f>'[4]audit adjustments Feb 1  Oct 1 '!I31</f>
        <v>41903</v>
      </c>
      <c r="W31" s="416">
        <f t="shared" si="9"/>
        <v>263.72</v>
      </c>
      <c r="X31" s="416">
        <f>W31*'Table 3 Levels 1&amp;2'!C33</f>
        <v>11020858.8</v>
      </c>
      <c r="Y31" s="416">
        <f>'[3]Total Pay Increase'!F32</f>
        <v>3171744</v>
      </c>
      <c r="Z31" s="184">
        <f t="shared" si="10"/>
        <v>41903</v>
      </c>
      <c r="AA31" s="416">
        <f t="shared" si="11"/>
        <v>75.69</v>
      </c>
      <c r="AB31" s="416">
        <f>AA31*'Table 3 Levels 1&amp;2'!C33</f>
        <v>3163085.1</v>
      </c>
      <c r="AC31" s="416">
        <f>'[12]Total Pay Increase'!J31</f>
        <v>4701259</v>
      </c>
      <c r="AD31" s="184">
        <f>'[8]Base Membership'!E33</f>
        <v>41817</v>
      </c>
      <c r="AE31" s="416">
        <f t="shared" si="12"/>
        <v>112.42</v>
      </c>
      <c r="AF31" s="416">
        <f>AE31*'Table 3 Levels 1&amp;2'!C33</f>
        <v>4698031.8</v>
      </c>
      <c r="AG31" s="416">
        <f t="shared" si="13"/>
        <v>60410343.699999996</v>
      </c>
    </row>
    <row r="32" spans="1:33" ht="12.75">
      <c r="A32" s="124">
        <v>27</v>
      </c>
      <c r="B32" s="404" t="s">
        <v>328</v>
      </c>
      <c r="C32" s="413">
        <f>'[6]Table 4 Level 3'!E32+'[6]Table 4 Level 3'!I32+'[6]Table 4 Level 3'!M32+'[6]Table 4 Level 3'!Q32</f>
        <v>276.40999999999997</v>
      </c>
      <c r="D32" s="416">
        <f>ROUND(C32*'Table 3 Levels 1&amp;2'!C34,0)</f>
        <v>1541262</v>
      </c>
      <c r="E32" s="417">
        <v>2</v>
      </c>
      <c r="F32" s="416">
        <f t="shared" si="1"/>
        <v>40000</v>
      </c>
      <c r="G32" s="418"/>
      <c r="H32" s="416">
        <f t="shared" si="2"/>
        <v>0</v>
      </c>
      <c r="I32" s="420">
        <v>0</v>
      </c>
      <c r="J32" s="420">
        <v>0</v>
      </c>
      <c r="K32" s="420">
        <f t="shared" si="6"/>
        <v>0</v>
      </c>
      <c r="L32" s="421">
        <f>'[6]Table 4 Level 3'!AF32+'[6]Table 4 Level 3'!AG32+'[6]Table 4 Level 3'!AI32</f>
        <v>0</v>
      </c>
      <c r="M32" s="421">
        <f t="shared" si="3"/>
        <v>0</v>
      </c>
      <c r="N32" s="421">
        <f t="shared" si="7"/>
        <v>0</v>
      </c>
      <c r="O32" s="419">
        <f>IF(L32&lt;0,0,'Table 3 Levels 1&amp;2'!C34)</f>
        <v>5576</v>
      </c>
      <c r="P32" s="416">
        <f t="shared" si="4"/>
        <v>129800</v>
      </c>
      <c r="Q32" s="419">
        <f>'Table 3 Levels 1&amp;2'!C34</f>
        <v>5576</v>
      </c>
      <c r="R32" s="416">
        <f t="shared" si="5"/>
        <v>557600</v>
      </c>
      <c r="S32" s="416"/>
      <c r="T32" s="416">
        <f t="shared" si="8"/>
        <v>2268662</v>
      </c>
      <c r="U32" s="416">
        <f>'[3]Total Pay Increase'!D33</f>
        <v>1335332</v>
      </c>
      <c r="V32" s="184">
        <f>'[4]audit adjustments Feb 1  Oct 1 '!I32</f>
        <v>5632</v>
      </c>
      <c r="W32" s="416">
        <f t="shared" si="9"/>
        <v>237.1</v>
      </c>
      <c r="X32" s="416">
        <f>W32*'Table 3 Levels 1&amp;2'!C34</f>
        <v>1322069.5999999999</v>
      </c>
      <c r="Y32" s="416">
        <f>'[3]Total Pay Increase'!F33</f>
        <v>428703</v>
      </c>
      <c r="Z32" s="184">
        <f t="shared" si="10"/>
        <v>5632</v>
      </c>
      <c r="AA32" s="416">
        <f t="shared" si="11"/>
        <v>76.12</v>
      </c>
      <c r="AB32" s="416">
        <f>AA32*'Table 3 Levels 1&amp;2'!C34</f>
        <v>424445.12000000005</v>
      </c>
      <c r="AC32" s="416">
        <f>'[12]Total Pay Increase'!J32</f>
        <v>577880</v>
      </c>
      <c r="AD32" s="184">
        <f>'[8]Base Membership'!E34</f>
        <v>5587</v>
      </c>
      <c r="AE32" s="416">
        <f t="shared" si="12"/>
        <v>103.43</v>
      </c>
      <c r="AF32" s="416">
        <f>AE32*'Table 3 Levels 1&amp;2'!C34</f>
        <v>576725.68</v>
      </c>
      <c r="AG32" s="416">
        <f t="shared" si="13"/>
        <v>4591902.399999999</v>
      </c>
    </row>
    <row r="33" spans="1:33" ht="12.75">
      <c r="A33" s="124">
        <v>28</v>
      </c>
      <c r="B33" s="404" t="s">
        <v>329</v>
      </c>
      <c r="C33" s="413">
        <f>'[6]Table 4 Level 3'!E33+'[6]Table 4 Level 3'!I33+'[6]Table 4 Level 3'!M33+'[6]Table 4 Level 3'!Q33</f>
        <v>272.51</v>
      </c>
      <c r="D33" s="416">
        <f>ROUND(C33*'Table 3 Levels 1&amp;2'!C35,0)</f>
        <v>7833027</v>
      </c>
      <c r="E33" s="417">
        <v>45</v>
      </c>
      <c r="F33" s="416">
        <f t="shared" si="1"/>
        <v>900000</v>
      </c>
      <c r="G33" s="418"/>
      <c r="H33" s="416">
        <f t="shared" si="2"/>
        <v>0</v>
      </c>
      <c r="I33" s="420">
        <v>1996377</v>
      </c>
      <c r="J33" s="420">
        <v>1996377</v>
      </c>
      <c r="K33" s="420">
        <f t="shared" si="6"/>
        <v>0</v>
      </c>
      <c r="L33" s="421">
        <f>'[6]Table 4 Level 3'!AF33+'[6]Table 4 Level 3'!AG33+'[6]Table 4 Level 3'!AI33</f>
        <v>0</v>
      </c>
      <c r="M33" s="421">
        <f t="shared" si="3"/>
        <v>0</v>
      </c>
      <c r="N33" s="421">
        <f t="shared" si="7"/>
        <v>0</v>
      </c>
      <c r="O33" s="419">
        <f>IF(L33&lt;0,0,'Table 3 Levels 1&amp;2'!C35)</f>
        <v>28744</v>
      </c>
      <c r="P33" s="416">
        <f t="shared" si="4"/>
        <v>669115</v>
      </c>
      <c r="Q33" s="419">
        <f>'Table 3 Levels 1&amp;2'!C35</f>
        <v>28744</v>
      </c>
      <c r="R33" s="416">
        <f t="shared" si="5"/>
        <v>2874400</v>
      </c>
      <c r="S33" s="416"/>
      <c r="T33" s="416">
        <f t="shared" si="8"/>
        <v>14272919</v>
      </c>
      <c r="U33" s="416">
        <f>'[3]Total Pay Increase'!D34</f>
        <v>7242529</v>
      </c>
      <c r="V33" s="184">
        <f>'[4]audit adjustments Feb 1  Oct 1 '!I33</f>
        <v>29086</v>
      </c>
      <c r="W33" s="416">
        <f t="shared" si="9"/>
        <v>249</v>
      </c>
      <c r="X33" s="416">
        <f>W33*'Table 3 Levels 1&amp;2'!C35</f>
        <v>7157256</v>
      </c>
      <c r="Y33" s="416">
        <f>'[3]Total Pay Increase'!F34</f>
        <v>1904932</v>
      </c>
      <c r="Z33" s="184">
        <f t="shared" si="10"/>
        <v>29086</v>
      </c>
      <c r="AA33" s="416">
        <f t="shared" si="11"/>
        <v>65.49</v>
      </c>
      <c r="AB33" s="416">
        <f>AA33*'Table 3 Levels 1&amp;2'!C35</f>
        <v>1882444.5599999998</v>
      </c>
      <c r="AC33" s="416">
        <f>'[12]Total Pay Increase'!J33</f>
        <v>3110079</v>
      </c>
      <c r="AD33" s="184">
        <f>'[8]Base Membership'!E35</f>
        <v>28959</v>
      </c>
      <c r="AE33" s="416">
        <f t="shared" si="12"/>
        <v>107.4</v>
      </c>
      <c r="AF33" s="416">
        <f>AE33*'Table 3 Levels 1&amp;2'!C35</f>
        <v>3087105.6</v>
      </c>
      <c r="AG33" s="416">
        <f t="shared" si="13"/>
        <v>26399725.16</v>
      </c>
    </row>
    <row r="34" spans="1:33" ht="12.75">
      <c r="A34" s="124">
        <v>29</v>
      </c>
      <c r="B34" s="404" t="s">
        <v>330</v>
      </c>
      <c r="C34" s="413">
        <f>'[6]Table 4 Level 3'!E34+'[6]Table 4 Level 3'!I34+'[6]Table 4 Level 3'!M34+'[6]Table 4 Level 3'!Q34</f>
        <v>297.77</v>
      </c>
      <c r="D34" s="416">
        <f>ROUND(C34*'Table 3 Levels 1&amp;2'!C36,0)</f>
        <v>4077662</v>
      </c>
      <c r="E34" s="417">
        <v>44</v>
      </c>
      <c r="F34" s="416">
        <f t="shared" si="1"/>
        <v>880000</v>
      </c>
      <c r="G34" s="418"/>
      <c r="H34" s="416">
        <f t="shared" si="2"/>
        <v>0</v>
      </c>
      <c r="I34" s="420">
        <v>0</v>
      </c>
      <c r="J34" s="420">
        <v>0</v>
      </c>
      <c r="K34" s="420">
        <f t="shared" si="6"/>
        <v>0</v>
      </c>
      <c r="L34" s="421">
        <f>'[6]Table 4 Level 3'!AF34+'[6]Table 4 Level 3'!AG34+'[6]Table 4 Level 3'!AI34</f>
        <v>0</v>
      </c>
      <c r="M34" s="421">
        <f t="shared" si="3"/>
        <v>0</v>
      </c>
      <c r="N34" s="421">
        <f t="shared" si="7"/>
        <v>0</v>
      </c>
      <c r="O34" s="419">
        <f>IF(L34&lt;0,0,'Table 3 Levels 1&amp;2'!C36)</f>
        <v>13694</v>
      </c>
      <c r="P34" s="416">
        <f t="shared" si="4"/>
        <v>318775</v>
      </c>
      <c r="Q34" s="419">
        <f>'Table 3 Levels 1&amp;2'!C36</f>
        <v>13694</v>
      </c>
      <c r="R34" s="416">
        <f t="shared" si="5"/>
        <v>1369400</v>
      </c>
      <c r="S34" s="416"/>
      <c r="T34" s="416">
        <f t="shared" si="8"/>
        <v>6645837</v>
      </c>
      <c r="U34" s="416">
        <f>'[3]Total Pay Increase'!D35</f>
        <v>3680405</v>
      </c>
      <c r="V34" s="184">
        <f>'[4]audit adjustments Feb 1  Oct 1 '!I34</f>
        <v>14086</v>
      </c>
      <c r="W34" s="416">
        <f t="shared" si="9"/>
        <v>261.28</v>
      </c>
      <c r="X34" s="416">
        <f>W34*'Table 3 Levels 1&amp;2'!C36</f>
        <v>3577968.32</v>
      </c>
      <c r="Y34" s="416">
        <f>'[3]Total Pay Increase'!F35</f>
        <v>1175057</v>
      </c>
      <c r="Z34" s="184">
        <f t="shared" si="10"/>
        <v>14086</v>
      </c>
      <c r="AA34" s="416">
        <f t="shared" si="11"/>
        <v>83.42</v>
      </c>
      <c r="AB34" s="416">
        <f>AA34*'Table 3 Levels 1&amp;2'!C36</f>
        <v>1142353.48</v>
      </c>
      <c r="AC34" s="416">
        <f>'[12]Total Pay Increase'!J34</f>
        <v>1570869</v>
      </c>
      <c r="AD34" s="184">
        <f>'[8]Base Membership'!E36</f>
        <v>13966</v>
      </c>
      <c r="AE34" s="416">
        <f t="shared" si="12"/>
        <v>112.48</v>
      </c>
      <c r="AF34" s="416">
        <f>AE34*'Table 3 Levels 1&amp;2'!C36</f>
        <v>1540301.12</v>
      </c>
      <c r="AG34" s="416">
        <f t="shared" si="13"/>
        <v>12906459.920000002</v>
      </c>
    </row>
    <row r="35" spans="1:33" ht="12.75">
      <c r="A35" s="125">
        <v>30</v>
      </c>
      <c r="B35" s="405" t="s">
        <v>331</v>
      </c>
      <c r="C35" s="422">
        <f>'[6]Table 4 Level 3'!E35+'[6]Table 4 Level 3'!I35+'[6]Table 4 Level 3'!M35+'[6]Table 4 Level 3'!Q35</f>
        <v>282.3</v>
      </c>
      <c r="D35" s="424">
        <f>ROUND(C35*'Table 3 Levels 1&amp;2'!C37,0)</f>
        <v>687118</v>
      </c>
      <c r="E35" s="425">
        <v>0</v>
      </c>
      <c r="F35" s="424">
        <f t="shared" si="1"/>
        <v>0</v>
      </c>
      <c r="G35" s="426"/>
      <c r="H35" s="424">
        <f t="shared" si="2"/>
        <v>0</v>
      </c>
      <c r="I35" s="428">
        <v>0</v>
      </c>
      <c r="J35" s="428">
        <v>0</v>
      </c>
      <c r="K35" s="428">
        <f t="shared" si="6"/>
        <v>0</v>
      </c>
      <c r="L35" s="429">
        <f>'[6]Table 4 Level 3'!AF35+'[6]Table 4 Level 3'!AG35+'[6]Table 4 Level 3'!AI35</f>
        <v>0</v>
      </c>
      <c r="M35" s="429">
        <f t="shared" si="3"/>
        <v>0</v>
      </c>
      <c r="N35" s="429">
        <f t="shared" si="7"/>
        <v>0</v>
      </c>
      <c r="O35" s="427">
        <f>IF(L35&lt;0,0,'Table 3 Levels 1&amp;2'!C37)</f>
        <v>2434</v>
      </c>
      <c r="P35" s="424">
        <f t="shared" si="4"/>
        <v>56660</v>
      </c>
      <c r="Q35" s="427">
        <f>'Table 3 Levels 1&amp;2'!C37</f>
        <v>2434</v>
      </c>
      <c r="R35" s="424">
        <f t="shared" si="5"/>
        <v>243400</v>
      </c>
      <c r="S35" s="424"/>
      <c r="T35" s="424">
        <f t="shared" si="8"/>
        <v>987178</v>
      </c>
      <c r="U35" s="424">
        <f>'[3]Total Pay Increase'!D36</f>
        <v>620677</v>
      </c>
      <c r="V35" s="309">
        <f>'[4]audit adjustments Feb 1  Oct 1 '!I35</f>
        <v>2497</v>
      </c>
      <c r="W35" s="424">
        <f t="shared" si="9"/>
        <v>248.57</v>
      </c>
      <c r="X35" s="424">
        <f>W35*'Table 3 Levels 1&amp;2'!C37</f>
        <v>605019.38</v>
      </c>
      <c r="Y35" s="424">
        <f>'[3]Total Pay Increase'!F36</f>
        <v>222293</v>
      </c>
      <c r="Z35" s="309">
        <f t="shared" si="10"/>
        <v>2497</v>
      </c>
      <c r="AA35" s="424">
        <f t="shared" si="11"/>
        <v>89.02</v>
      </c>
      <c r="AB35" s="424">
        <f>AA35*'Table 3 Levels 1&amp;2'!C37</f>
        <v>216674.68</v>
      </c>
      <c r="AC35" s="424">
        <f>'[12]Total Pay Increase'!J35</f>
        <v>262082</v>
      </c>
      <c r="AD35" s="309">
        <f>'[8]Base Membership'!E37</f>
        <v>2443</v>
      </c>
      <c r="AE35" s="424">
        <f t="shared" si="12"/>
        <v>107.28</v>
      </c>
      <c r="AF35" s="424">
        <f>AE35*'Table 3 Levels 1&amp;2'!C37</f>
        <v>261119.52</v>
      </c>
      <c r="AG35" s="424">
        <f t="shared" si="13"/>
        <v>2069991.5799999998</v>
      </c>
    </row>
    <row r="36" spans="1:33" ht="12.75">
      <c r="A36" s="124">
        <v>31</v>
      </c>
      <c r="B36" s="404" t="s">
        <v>332</v>
      </c>
      <c r="C36" s="413">
        <f>'[6]Table 4 Level 3'!E36+'[6]Table 4 Level 3'!I36+'[6]Table 4 Level 3'!M36+'[6]Table 4 Level 3'!Q36</f>
        <v>202.25</v>
      </c>
      <c r="D36" s="416">
        <f>ROUND(C36*'Table 3 Levels 1&amp;2'!C38,0)</f>
        <v>1323322</v>
      </c>
      <c r="E36" s="417">
        <v>0</v>
      </c>
      <c r="F36" s="416">
        <f t="shared" si="1"/>
        <v>0</v>
      </c>
      <c r="G36" s="418"/>
      <c r="H36" s="416">
        <f t="shared" si="2"/>
        <v>0</v>
      </c>
      <c r="I36" s="420">
        <v>0</v>
      </c>
      <c r="J36" s="420">
        <v>0</v>
      </c>
      <c r="K36" s="420">
        <f t="shared" si="6"/>
        <v>0</v>
      </c>
      <c r="L36" s="421">
        <f>'[6]Table 4 Level 3'!AF36+'[6]Table 4 Level 3'!AG36+'[6]Table 4 Level 3'!AI36</f>
        <v>0</v>
      </c>
      <c r="M36" s="421">
        <f t="shared" si="3"/>
        <v>0</v>
      </c>
      <c r="N36" s="421">
        <f t="shared" si="7"/>
        <v>0</v>
      </c>
      <c r="O36" s="419">
        <f>IF(L36&lt;0,0,'Table 3 Levels 1&amp;2'!C38)</f>
        <v>6543</v>
      </c>
      <c r="P36" s="416">
        <f t="shared" si="4"/>
        <v>152311</v>
      </c>
      <c r="Q36" s="419">
        <f>'Table 3 Levels 1&amp;2'!C38</f>
        <v>6543</v>
      </c>
      <c r="R36" s="416">
        <f t="shared" si="5"/>
        <v>654300</v>
      </c>
      <c r="S36" s="416"/>
      <c r="T36" s="416">
        <f t="shared" si="8"/>
        <v>2129933</v>
      </c>
      <c r="U36" s="416">
        <f>'[3]Total Pay Increase'!D37</f>
        <v>1613107</v>
      </c>
      <c r="V36" s="184">
        <f>'[4]audit adjustments Feb 1  Oct 1 '!I36</f>
        <v>6451</v>
      </c>
      <c r="W36" s="416">
        <f t="shared" si="9"/>
        <v>250.06</v>
      </c>
      <c r="X36" s="416">
        <f>W36*'Table 3 Levels 1&amp;2'!C38</f>
        <v>1636142.58</v>
      </c>
      <c r="Y36" s="416">
        <f>'[3]Total Pay Increase'!F37</f>
        <v>388943</v>
      </c>
      <c r="Z36" s="184">
        <f t="shared" si="10"/>
        <v>6451</v>
      </c>
      <c r="AA36" s="416">
        <f t="shared" si="11"/>
        <v>60.29</v>
      </c>
      <c r="AB36" s="416">
        <f>AA36*'Table 3 Levels 1&amp;2'!C38</f>
        <v>394477.47</v>
      </c>
      <c r="AC36" s="416">
        <f>'[12]Total Pay Increase'!J36</f>
        <v>712377</v>
      </c>
      <c r="AD36" s="184">
        <f>'[8]Base Membership'!E38</f>
        <v>6582</v>
      </c>
      <c r="AE36" s="416">
        <f t="shared" si="12"/>
        <v>108.23</v>
      </c>
      <c r="AF36" s="416">
        <f>AE36*'Table 3 Levels 1&amp;2'!C38</f>
        <v>708148.89</v>
      </c>
      <c r="AG36" s="416">
        <f t="shared" si="13"/>
        <v>4868701.9399999995</v>
      </c>
    </row>
    <row r="37" spans="1:33" ht="12.75">
      <c r="A37" s="124">
        <v>32</v>
      </c>
      <c r="B37" s="404" t="s">
        <v>333</v>
      </c>
      <c r="C37" s="413">
        <f>'[6]Table 4 Level 3'!E37+'[6]Table 4 Level 3'!I37+'[6]Table 4 Level 3'!M37+'[6]Table 4 Level 3'!Q37</f>
        <v>184.17000000000002</v>
      </c>
      <c r="D37" s="416">
        <f>ROUND(C37*'Table 3 Levels 1&amp;2'!C39,0)</f>
        <v>4342360</v>
      </c>
      <c r="E37" s="417">
        <v>1</v>
      </c>
      <c r="F37" s="416">
        <f t="shared" si="1"/>
        <v>20000</v>
      </c>
      <c r="G37" s="418"/>
      <c r="H37" s="416">
        <f t="shared" si="2"/>
        <v>0</v>
      </c>
      <c r="I37" s="420">
        <v>0</v>
      </c>
      <c r="J37" s="420">
        <v>0</v>
      </c>
      <c r="K37" s="420">
        <f t="shared" si="6"/>
        <v>0</v>
      </c>
      <c r="L37" s="421">
        <f>'[6]Table 4 Level 3'!AF37+'[6]Table 4 Level 3'!AG37+'[6]Table 4 Level 3'!AI37</f>
        <v>0</v>
      </c>
      <c r="M37" s="421">
        <f t="shared" si="3"/>
        <v>0</v>
      </c>
      <c r="N37" s="421">
        <f t="shared" si="7"/>
        <v>0</v>
      </c>
      <c r="O37" s="419">
        <f>IF(L37&lt;0,0,'Table 3 Levels 1&amp;2'!C39)</f>
        <v>23578</v>
      </c>
      <c r="P37" s="416">
        <f t="shared" si="4"/>
        <v>548858</v>
      </c>
      <c r="Q37" s="419">
        <f>'Table 3 Levels 1&amp;2'!C39</f>
        <v>23578</v>
      </c>
      <c r="R37" s="416">
        <f t="shared" si="5"/>
        <v>2357800</v>
      </c>
      <c r="S37" s="416"/>
      <c r="T37" s="416">
        <f t="shared" si="8"/>
        <v>7269018</v>
      </c>
      <c r="U37" s="416">
        <f>'[3]Total Pay Increase'!D38</f>
        <v>5131420</v>
      </c>
      <c r="V37" s="184">
        <f>'[4]audit adjustments Feb 1  Oct 1 '!I37</f>
        <v>23608</v>
      </c>
      <c r="W37" s="416">
        <f t="shared" si="9"/>
        <v>217.36</v>
      </c>
      <c r="X37" s="1265">
        <f>W37*'Table 3 Levels 1&amp;2'!C39</f>
        <v>5124914.08</v>
      </c>
      <c r="Y37" s="1265">
        <f>'[3]Total Pay Increase'!F38</f>
        <v>1454967</v>
      </c>
      <c r="Z37" s="1266">
        <f t="shared" si="10"/>
        <v>23608</v>
      </c>
      <c r="AA37" s="1265">
        <f t="shared" si="11"/>
        <v>61.63</v>
      </c>
      <c r="AB37" s="1265">
        <f>AA37*'Table 3 Levels 1&amp;2'!C39</f>
        <v>1453112.1400000001</v>
      </c>
      <c r="AC37" s="1265">
        <f>'[12]Total Pay Increase'!J37</f>
        <v>2292268</v>
      </c>
      <c r="AD37" s="1266">
        <f>'[8]Base Membership'!E39</f>
        <v>23728</v>
      </c>
      <c r="AE37" s="1265">
        <f t="shared" si="12"/>
        <v>96.61</v>
      </c>
      <c r="AF37" s="1265">
        <f>AE37*'Table 3 Levels 1&amp;2'!C39</f>
        <v>2277870.58</v>
      </c>
      <c r="AG37" s="416">
        <f t="shared" si="13"/>
        <v>16124914.8</v>
      </c>
    </row>
    <row r="38" spans="1:33" ht="12.75">
      <c r="A38" s="124">
        <v>33</v>
      </c>
      <c r="B38" s="404" t="s">
        <v>334</v>
      </c>
      <c r="C38" s="413">
        <f>'[6]Table 4 Level 3'!E38+'[6]Table 4 Level 3'!I38+'[6]Table 4 Level 3'!M38+'[6]Table 4 Level 3'!Q38</f>
        <v>369.71999999999997</v>
      </c>
      <c r="D38" s="416">
        <f>ROUND(C38*'Table 3 Levels 1&amp;2'!C40,0)</f>
        <v>723912</v>
      </c>
      <c r="E38" s="417">
        <v>2</v>
      </c>
      <c r="F38" s="416">
        <f aca="true" t="shared" si="14" ref="F38:F69">ROUND($F$4*E38,0)</f>
        <v>40000</v>
      </c>
      <c r="G38" s="418"/>
      <c r="H38" s="416">
        <f aca="true" t="shared" si="15" ref="H38:H69">ROUND(G38*$H$4,0)</f>
        <v>0</v>
      </c>
      <c r="I38" s="420">
        <v>0</v>
      </c>
      <c r="J38" s="420">
        <v>0</v>
      </c>
      <c r="K38" s="420">
        <f t="shared" si="6"/>
        <v>0</v>
      </c>
      <c r="L38" s="421">
        <f>'[6]Table 4 Level 3'!AF38+'[6]Table 4 Level 3'!AG38+'[6]Table 4 Level 3'!AI38</f>
        <v>0</v>
      </c>
      <c r="M38" s="421">
        <f aca="true" t="shared" si="16" ref="M38:M69">SUM(K38:L38)</f>
        <v>0</v>
      </c>
      <c r="N38" s="421">
        <f t="shared" si="7"/>
        <v>0</v>
      </c>
      <c r="O38" s="419">
        <f>IF(L38&lt;0,0,'Table 3 Levels 1&amp;2'!C40)</f>
        <v>1958</v>
      </c>
      <c r="P38" s="416">
        <f aca="true" t="shared" si="17" ref="P38:P69">ROUND($P$4*O38,0)</f>
        <v>45579</v>
      </c>
      <c r="Q38" s="419">
        <f>'Table 3 Levels 1&amp;2'!C40</f>
        <v>1958</v>
      </c>
      <c r="R38" s="416">
        <f aca="true" t="shared" si="18" ref="R38:R69">ROUND(Q38*$R$4,0)</f>
        <v>195800</v>
      </c>
      <c r="S38" s="416"/>
      <c r="T38" s="416">
        <f t="shared" si="8"/>
        <v>1005291</v>
      </c>
      <c r="U38" s="416">
        <f>'[3]Total Pay Increase'!D39</f>
        <v>401497</v>
      </c>
      <c r="V38" s="184">
        <f>'[4]audit adjustments Feb 1  Oct 1 '!I38</f>
        <v>2051</v>
      </c>
      <c r="W38" s="416">
        <f t="shared" si="9"/>
        <v>195.76</v>
      </c>
      <c r="X38" s="1265">
        <f>W38*'Table 3 Levels 1&amp;2'!C40</f>
        <v>383298.07999999996</v>
      </c>
      <c r="Y38" s="1265">
        <f>'[3]Total Pay Increase'!F39</f>
        <v>184236</v>
      </c>
      <c r="Z38" s="1266">
        <f t="shared" si="10"/>
        <v>2051</v>
      </c>
      <c r="AA38" s="1265">
        <f t="shared" si="11"/>
        <v>89.83</v>
      </c>
      <c r="AB38" s="1265">
        <f>AA38*'Table 3 Levels 1&amp;2'!C40</f>
        <v>175887.13999999998</v>
      </c>
      <c r="AC38" s="1265">
        <f>'[12]Total Pay Increase'!J38</f>
        <v>0</v>
      </c>
      <c r="AD38" s="1266">
        <f>'[8]Base Membership'!E40</f>
        <v>2011</v>
      </c>
      <c r="AE38" s="1265">
        <f t="shared" si="12"/>
        <v>0</v>
      </c>
      <c r="AF38" s="1265">
        <f>AE38*'Table 3 Levels 1&amp;2'!C40</f>
        <v>0</v>
      </c>
      <c r="AG38" s="416">
        <f t="shared" si="13"/>
        <v>1564476.22</v>
      </c>
    </row>
    <row r="39" spans="1:33" ht="12.75">
      <c r="A39" s="124">
        <v>34</v>
      </c>
      <c r="B39" s="404" t="s">
        <v>335</v>
      </c>
      <c r="C39" s="413">
        <f>'[6]Table 4 Level 3'!E39+'[6]Table 4 Level 3'!I39+'[6]Table 4 Level 3'!M39+'[6]Table 4 Level 3'!Q39</f>
        <v>307.33000000000004</v>
      </c>
      <c r="D39" s="416">
        <f>ROUND(C39*'Table 3 Levels 1&amp;2'!C41,0)</f>
        <v>1430621</v>
      </c>
      <c r="E39" s="417">
        <v>0</v>
      </c>
      <c r="F39" s="416">
        <f t="shared" si="14"/>
        <v>0</v>
      </c>
      <c r="G39" s="418"/>
      <c r="H39" s="416">
        <f t="shared" si="15"/>
        <v>0</v>
      </c>
      <c r="I39" s="420">
        <v>0</v>
      </c>
      <c r="J39" s="420">
        <v>0</v>
      </c>
      <c r="K39" s="420">
        <f t="shared" si="6"/>
        <v>0</v>
      </c>
      <c r="L39" s="421">
        <f>'[6]Table 4 Level 3'!AF39+'[6]Table 4 Level 3'!AG39+'[6]Table 4 Level 3'!AI39</f>
        <v>0</v>
      </c>
      <c r="M39" s="421">
        <f t="shared" si="16"/>
        <v>0</v>
      </c>
      <c r="N39" s="421">
        <f t="shared" si="7"/>
        <v>0</v>
      </c>
      <c r="O39" s="419">
        <f>IF(L39&lt;0,0,'Table 3 Levels 1&amp;2'!C41)</f>
        <v>4655</v>
      </c>
      <c r="P39" s="416">
        <f t="shared" si="17"/>
        <v>108361</v>
      </c>
      <c r="Q39" s="419">
        <f>'Table 3 Levels 1&amp;2'!C41</f>
        <v>4655</v>
      </c>
      <c r="R39" s="416">
        <f t="shared" si="18"/>
        <v>465500</v>
      </c>
      <c r="S39" s="416">
        <v>1600000</v>
      </c>
      <c r="T39" s="416">
        <f t="shared" si="8"/>
        <v>3604482</v>
      </c>
      <c r="U39" s="416">
        <f>'[3]Total Pay Increase'!D40</f>
        <v>1189639</v>
      </c>
      <c r="V39" s="184">
        <f>'[4]audit adjustments Feb 1  Oct 1 '!I39</f>
        <v>4776</v>
      </c>
      <c r="W39" s="416">
        <f t="shared" si="9"/>
        <v>249.09</v>
      </c>
      <c r="X39" s="1265">
        <f>W39*'Table 3 Levels 1&amp;2'!C41</f>
        <v>1159513.95</v>
      </c>
      <c r="Y39" s="1265">
        <f>'[3]Total Pay Increase'!F40</f>
        <v>319996</v>
      </c>
      <c r="Z39" s="1266">
        <f t="shared" si="10"/>
        <v>4776</v>
      </c>
      <c r="AA39" s="1265">
        <f t="shared" si="11"/>
        <v>67</v>
      </c>
      <c r="AB39" s="1265">
        <f>AA39*'Table 3 Levels 1&amp;2'!C41</f>
        <v>311885</v>
      </c>
      <c r="AC39" s="1265">
        <f>'[12]Total Pay Increase'!J39</f>
        <v>96613</v>
      </c>
      <c r="AD39" s="1266">
        <f>'[8]Base Membership'!E41</f>
        <v>4669</v>
      </c>
      <c r="AE39" s="1265">
        <f t="shared" si="12"/>
        <v>20.69</v>
      </c>
      <c r="AF39" s="1265">
        <f>AE39*'Table 3 Levels 1&amp;2'!C41</f>
        <v>96311.95000000001</v>
      </c>
      <c r="AG39" s="416">
        <f t="shared" si="13"/>
        <v>5172192.9</v>
      </c>
    </row>
    <row r="40" spans="1:33" ht="12.75">
      <c r="A40" s="125">
        <v>35</v>
      </c>
      <c r="B40" s="405" t="s">
        <v>336</v>
      </c>
      <c r="C40" s="422">
        <f>'[6]Table 4 Level 3'!E40+'[6]Table 4 Level 3'!I40+'[6]Table 4 Level 3'!M40+'[6]Table 4 Level 3'!Q40</f>
        <v>242.8</v>
      </c>
      <c r="D40" s="424">
        <f>ROUND(C40*'Table 3 Levels 1&amp;2'!C42,0)</f>
        <v>1547122</v>
      </c>
      <c r="E40" s="425">
        <v>0</v>
      </c>
      <c r="F40" s="424">
        <f t="shared" si="14"/>
        <v>0</v>
      </c>
      <c r="G40" s="426"/>
      <c r="H40" s="424">
        <f t="shared" si="15"/>
        <v>0</v>
      </c>
      <c r="I40" s="428">
        <v>0</v>
      </c>
      <c r="J40" s="428">
        <v>0</v>
      </c>
      <c r="K40" s="428">
        <f t="shared" si="6"/>
        <v>0</v>
      </c>
      <c r="L40" s="429">
        <f>'[6]Table 4 Level 3'!AF40+'[6]Table 4 Level 3'!AG40+'[6]Table 4 Level 3'!AI40</f>
        <v>0</v>
      </c>
      <c r="M40" s="429">
        <f t="shared" si="16"/>
        <v>0</v>
      </c>
      <c r="N40" s="429">
        <f t="shared" si="7"/>
        <v>0</v>
      </c>
      <c r="O40" s="427">
        <f>IF(L40&lt;0,0,'Table 3 Levels 1&amp;2'!C42)</f>
        <v>6372</v>
      </c>
      <c r="P40" s="424">
        <f t="shared" si="17"/>
        <v>148330</v>
      </c>
      <c r="Q40" s="427">
        <f>'Table 3 Levels 1&amp;2'!C42</f>
        <v>6372</v>
      </c>
      <c r="R40" s="424">
        <f t="shared" si="18"/>
        <v>637200</v>
      </c>
      <c r="S40" s="424"/>
      <c r="T40" s="424">
        <f t="shared" si="8"/>
        <v>2332652</v>
      </c>
      <c r="U40" s="424">
        <f>'[3]Total Pay Increase'!D41</f>
        <v>1476100</v>
      </c>
      <c r="V40" s="309">
        <f>'[4]audit adjustments Feb 1  Oct 1 '!I40</f>
        <v>6558</v>
      </c>
      <c r="W40" s="424">
        <f t="shared" si="9"/>
        <v>225.08</v>
      </c>
      <c r="X40" s="1267">
        <f>W40*'Table 3 Levels 1&amp;2'!C42</f>
        <v>1434209.76</v>
      </c>
      <c r="Y40" s="1267">
        <f>'[3]Total Pay Increase'!F41</f>
        <v>332652</v>
      </c>
      <c r="Z40" s="1268">
        <f t="shared" si="10"/>
        <v>6558</v>
      </c>
      <c r="AA40" s="1267">
        <f t="shared" si="11"/>
        <v>50.72</v>
      </c>
      <c r="AB40" s="1267">
        <f>AA40*'Table 3 Levels 1&amp;2'!C42</f>
        <v>323187.83999999997</v>
      </c>
      <c r="AC40" s="1267">
        <f>'[12]Total Pay Increase'!J40</f>
        <v>123696</v>
      </c>
      <c r="AD40" s="1268">
        <f>'[8]Base Membership'!E42</f>
        <v>6390</v>
      </c>
      <c r="AE40" s="1267">
        <f t="shared" si="12"/>
        <v>19.36</v>
      </c>
      <c r="AF40" s="1267">
        <f>AE40*'Table 3 Levels 1&amp;2'!C42</f>
        <v>123361.92</v>
      </c>
      <c r="AG40" s="424">
        <f t="shared" si="13"/>
        <v>4213411.52</v>
      </c>
    </row>
    <row r="41" spans="1:33" ht="12.75">
      <c r="A41" s="124">
        <v>36</v>
      </c>
      <c r="B41" s="404" t="s">
        <v>337</v>
      </c>
      <c r="C41" s="413">
        <f>'[6]Table 4 Level 3'!E41+'[6]Table 4 Level 3'!I41+'[6]Table 4 Level 3'!M41+'[6]Table 4 Level 3'!Q41</f>
        <v>312.36</v>
      </c>
      <c r="D41" s="416">
        <f>ROUND(C41*'Table 3 Levels 1&amp;2'!C43,0)</f>
        <v>10524345</v>
      </c>
      <c r="E41" s="417">
        <f>22+1</f>
        <v>23</v>
      </c>
      <c r="F41" s="416">
        <f t="shared" si="14"/>
        <v>460000</v>
      </c>
      <c r="G41" s="418"/>
      <c r="H41" s="416">
        <f t="shared" si="15"/>
        <v>0</v>
      </c>
      <c r="I41" s="420">
        <v>0</v>
      </c>
      <c r="J41" s="420">
        <v>0</v>
      </c>
      <c r="K41" s="420">
        <f t="shared" si="6"/>
        <v>0</v>
      </c>
      <c r="L41" s="421">
        <f>'[6]Table 4 Level 3'!AF41+'[6]Table 4 Level 3'!AG41+'[6]Table 4 Level 3'!AI41</f>
        <v>0</v>
      </c>
      <c r="M41" s="421">
        <f t="shared" si="16"/>
        <v>0</v>
      </c>
      <c r="N41" s="436">
        <f t="shared" si="7"/>
        <v>0</v>
      </c>
      <c r="O41" s="434">
        <f>IF(L41&lt;0,0,'Table 3 Levels 1&amp;2'!C43)</f>
        <v>33693</v>
      </c>
      <c r="P41" s="416">
        <f t="shared" si="17"/>
        <v>784320</v>
      </c>
      <c r="Q41" s="419">
        <f>'Table 3 Levels 1&amp;2'!C43</f>
        <v>33693</v>
      </c>
      <c r="R41" s="416">
        <f t="shared" si="18"/>
        <v>3369300</v>
      </c>
      <c r="S41" s="416"/>
      <c r="T41" s="416">
        <f t="shared" si="8"/>
        <v>15137965</v>
      </c>
      <c r="U41" s="678">
        <f>'[3]Total Pay Increase'!D42+'[3]Total Pay Increase'!$D$80+'[3]Total Pay Increase'!$D$81</f>
        <v>8465438</v>
      </c>
      <c r="V41" s="184"/>
      <c r="W41" s="416"/>
      <c r="X41" s="1265">
        <f>'Table 5B1_RSD_Orleans'!I56</f>
        <v>9569009.01986739</v>
      </c>
      <c r="Y41" s="1265">
        <f>'[3]Total Pay Increase'!F42+'[3]Total Pay Increase'!$F$80+'[3]Total Pay Increase'!$F$81</f>
        <v>1383910</v>
      </c>
      <c r="Z41" s="1266"/>
      <c r="AA41" s="1265"/>
      <c r="AB41" s="1265">
        <f>'Table 5B1_RSD_Orleans'!M56</f>
        <v>1557210.4274421153</v>
      </c>
      <c r="AC41" s="1265">
        <f>'[12]Total Pay Increase'!J41</f>
        <v>1088281</v>
      </c>
      <c r="AD41" s="1266"/>
      <c r="AE41" s="1265"/>
      <c r="AF41" s="1265">
        <f>'Table 5B1_RSD_Orleans'!R56</f>
        <v>3501402.9598570596</v>
      </c>
      <c r="AG41" s="416">
        <f t="shared" si="13"/>
        <v>29765587.407166563</v>
      </c>
    </row>
    <row r="42" spans="1:33" ht="12.75">
      <c r="A42" s="124">
        <v>37</v>
      </c>
      <c r="B42" s="404" t="s">
        <v>338</v>
      </c>
      <c r="C42" s="413">
        <f>'[6]Table 4 Level 3'!E42+'[6]Table 4 Level 3'!I42+'[6]Table 4 Level 3'!M42+'[6]Table 4 Level 3'!Q42</f>
        <v>217.32000000000002</v>
      </c>
      <c r="D42" s="416">
        <f>ROUND(C42*'Table 3 Levels 1&amp;2'!C44,0)</f>
        <v>4028678</v>
      </c>
      <c r="E42" s="417">
        <v>2</v>
      </c>
      <c r="F42" s="416">
        <f t="shared" si="14"/>
        <v>40000</v>
      </c>
      <c r="G42" s="418"/>
      <c r="H42" s="416">
        <f t="shared" si="15"/>
        <v>0</v>
      </c>
      <c r="I42" s="420">
        <v>0</v>
      </c>
      <c r="J42" s="420">
        <v>0</v>
      </c>
      <c r="K42" s="420">
        <f t="shared" si="6"/>
        <v>0</v>
      </c>
      <c r="L42" s="421">
        <f>'[6]Table 4 Level 3'!AF42+'[6]Table 4 Level 3'!AG42+'[6]Table 4 Level 3'!AI42</f>
        <v>0</v>
      </c>
      <c r="M42" s="421">
        <f t="shared" si="16"/>
        <v>0</v>
      </c>
      <c r="N42" s="421">
        <f t="shared" si="7"/>
        <v>0</v>
      </c>
      <c r="O42" s="419">
        <f>IF(L42&lt;0,0,'Table 3 Levels 1&amp;2'!C44)</f>
        <v>18538</v>
      </c>
      <c r="P42" s="416">
        <f t="shared" si="17"/>
        <v>431535</v>
      </c>
      <c r="Q42" s="419">
        <f>'Table 3 Levels 1&amp;2'!C44</f>
        <v>18538</v>
      </c>
      <c r="R42" s="416">
        <f t="shared" si="18"/>
        <v>1853800</v>
      </c>
      <c r="S42" s="416"/>
      <c r="T42" s="416">
        <f t="shared" si="8"/>
        <v>6354013</v>
      </c>
      <c r="U42" s="416">
        <f>'[3]Total Pay Increase'!D43</f>
        <v>4617676</v>
      </c>
      <c r="V42" s="184">
        <f>'[4]audit adjustments Feb 1  Oct 1 '!I42</f>
        <v>18606</v>
      </c>
      <c r="W42" s="416">
        <f t="shared" si="9"/>
        <v>248.18</v>
      </c>
      <c r="X42" s="1265">
        <f>W42*'Table 3 Levels 1&amp;2'!C44</f>
        <v>4600760.84</v>
      </c>
      <c r="Y42" s="1265">
        <f>'[3]Total Pay Increase'!F43</f>
        <v>1554224</v>
      </c>
      <c r="Z42" s="1266">
        <f t="shared" si="10"/>
        <v>18606</v>
      </c>
      <c r="AA42" s="1265">
        <f t="shared" si="11"/>
        <v>83.53</v>
      </c>
      <c r="AB42" s="1265">
        <f>AA42*'Table 3 Levels 1&amp;2'!C44</f>
        <v>1548479.1400000001</v>
      </c>
      <c r="AC42" s="1265">
        <f>'[12]Total Pay Increase'!J42</f>
        <v>1946362</v>
      </c>
      <c r="AD42" s="1266">
        <f>'[8]Base Membership'!E44</f>
        <v>18611</v>
      </c>
      <c r="AE42" s="1265">
        <f aca="true" t="shared" si="19" ref="AE42:AE70">ROUND(AC42/AD42,2)</f>
        <v>104.58</v>
      </c>
      <c r="AF42" s="1265">
        <f>AE42*'Table 3 Levels 1&amp;2'!C44</f>
        <v>1938704.04</v>
      </c>
      <c r="AG42" s="416">
        <f t="shared" si="13"/>
        <v>14441957.02</v>
      </c>
    </row>
    <row r="43" spans="1:33" ht="12.75">
      <c r="A43" s="124">
        <v>38</v>
      </c>
      <c r="B43" s="404" t="s">
        <v>339</v>
      </c>
      <c r="C43" s="413">
        <f>'[6]Table 4 Level 3'!E43+'[6]Table 4 Level 3'!I43+'[6]Table 4 Level 3'!M43+'[6]Table 4 Level 3'!Q43</f>
        <v>321.78999999999996</v>
      </c>
      <c r="D43" s="416">
        <f>ROUND(C43*'Table 3 Levels 1&amp;2'!C45,0)</f>
        <v>1104705</v>
      </c>
      <c r="E43" s="417">
        <v>1</v>
      </c>
      <c r="F43" s="416">
        <f t="shared" si="14"/>
        <v>20000</v>
      </c>
      <c r="G43" s="418"/>
      <c r="H43" s="416">
        <f t="shared" si="15"/>
        <v>0</v>
      </c>
      <c r="I43" s="420">
        <v>5387703</v>
      </c>
      <c r="J43" s="420">
        <v>1258024</v>
      </c>
      <c r="K43" s="420">
        <f t="shared" si="6"/>
        <v>4129679</v>
      </c>
      <c r="L43" s="421">
        <f>'[6]Table 4 Level 3'!AF43+'[6]Table 4 Level 3'!AG43+'[6]Table 4 Level 3'!AI43</f>
        <v>-825936</v>
      </c>
      <c r="M43" s="670">
        <f t="shared" si="16"/>
        <v>3303743</v>
      </c>
      <c r="N43" s="421">
        <f t="shared" si="7"/>
        <v>-412968</v>
      </c>
      <c r="O43" s="419">
        <f>IF(L43&lt;0,0,'Table 3 Levels 1&amp;2'!C45)</f>
        <v>0</v>
      </c>
      <c r="P43" s="416">
        <f t="shared" si="17"/>
        <v>0</v>
      </c>
      <c r="Q43" s="419">
        <f>'Table 3 Levels 1&amp;2'!C45</f>
        <v>3433</v>
      </c>
      <c r="R43" s="416">
        <f t="shared" si="18"/>
        <v>343300</v>
      </c>
      <c r="S43" s="416"/>
      <c r="T43" s="416">
        <f t="shared" si="8"/>
        <v>5616804</v>
      </c>
      <c r="U43" s="416">
        <f>'[3]Total Pay Increase'!D44</f>
        <v>974776</v>
      </c>
      <c r="V43" s="184">
        <f>'[4]audit adjustments Feb 1  Oct 1 '!I43</f>
        <v>3500</v>
      </c>
      <c r="W43" s="416">
        <f t="shared" si="9"/>
        <v>278.51</v>
      </c>
      <c r="X43" s="1265">
        <f>W43*'Table 3 Levels 1&amp;2'!C45</f>
        <v>956124.83</v>
      </c>
      <c r="Y43" s="1265">
        <f>'[3]Total Pay Increase'!F44</f>
        <v>390911</v>
      </c>
      <c r="Z43" s="1266">
        <f t="shared" si="10"/>
        <v>3500</v>
      </c>
      <c r="AA43" s="1265">
        <f t="shared" si="11"/>
        <v>111.69</v>
      </c>
      <c r="AB43" s="1265">
        <f>AA43*'Table 3 Levels 1&amp;2'!C45</f>
        <v>383431.77</v>
      </c>
      <c r="AC43" s="1265">
        <f>'[12]Total Pay Increase'!J43</f>
        <v>413108</v>
      </c>
      <c r="AD43" s="1266">
        <f>'[8]Base Membership'!E45</f>
        <v>3503</v>
      </c>
      <c r="AE43" s="1265">
        <f t="shared" si="19"/>
        <v>117.93</v>
      </c>
      <c r="AF43" s="1265">
        <f>AE43*'Table 3 Levels 1&amp;2'!C45</f>
        <v>404853.69</v>
      </c>
      <c r="AG43" s="416">
        <f t="shared" si="13"/>
        <v>7361214.29</v>
      </c>
    </row>
    <row r="44" spans="1:33" ht="12.75">
      <c r="A44" s="124">
        <v>39</v>
      </c>
      <c r="B44" s="404" t="s">
        <v>340</v>
      </c>
      <c r="C44" s="413">
        <f>'[6]Table 4 Level 3'!E44+'[6]Table 4 Level 3'!I44+'[6]Table 4 Level 3'!M44+'[6]Table 4 Level 3'!Q44</f>
        <v>346.42</v>
      </c>
      <c r="D44" s="416">
        <f>ROUND(C44*'Table 3 Levels 1&amp;2'!C46,0)</f>
        <v>993186</v>
      </c>
      <c r="E44" s="417">
        <v>1</v>
      </c>
      <c r="F44" s="416">
        <f t="shared" si="14"/>
        <v>20000</v>
      </c>
      <c r="G44" s="418"/>
      <c r="H44" s="416">
        <f t="shared" si="15"/>
        <v>0</v>
      </c>
      <c r="I44" s="420">
        <v>324688</v>
      </c>
      <c r="J44" s="420">
        <v>324688</v>
      </c>
      <c r="K44" s="420">
        <f t="shared" si="6"/>
        <v>0</v>
      </c>
      <c r="L44" s="421">
        <f>'[6]Table 4 Level 3'!AF44+'[6]Table 4 Level 3'!AG44+'[6]Table 4 Level 3'!AI44</f>
        <v>0</v>
      </c>
      <c r="M44" s="421">
        <f t="shared" si="16"/>
        <v>0</v>
      </c>
      <c r="N44" s="421">
        <f t="shared" si="7"/>
        <v>0</v>
      </c>
      <c r="O44" s="419">
        <f>IF(L44&lt;0,0,'Table 3 Levels 1&amp;2'!C46)</f>
        <v>2867</v>
      </c>
      <c r="P44" s="416">
        <f t="shared" si="17"/>
        <v>66739</v>
      </c>
      <c r="Q44" s="419">
        <f>'Table 3 Levels 1&amp;2'!C46</f>
        <v>2867</v>
      </c>
      <c r="R44" s="416">
        <f t="shared" si="18"/>
        <v>286700</v>
      </c>
      <c r="S44" s="416"/>
      <c r="T44" s="416">
        <f t="shared" si="8"/>
        <v>1691313</v>
      </c>
      <c r="U44" s="416">
        <f>'[3]Total Pay Increase'!D45</f>
        <v>745422</v>
      </c>
      <c r="V44" s="184">
        <f>'[4]audit adjustments Feb 1  Oct 1 '!I44</f>
        <v>2982</v>
      </c>
      <c r="W44" s="416">
        <f t="shared" si="9"/>
        <v>249.97</v>
      </c>
      <c r="X44" s="1265">
        <f>W44*'Table 3 Levels 1&amp;2'!C46</f>
        <v>716663.99</v>
      </c>
      <c r="Y44" s="1265">
        <f>'[3]Total Pay Increase'!F45</f>
        <v>219666</v>
      </c>
      <c r="Z44" s="1266">
        <f t="shared" si="10"/>
        <v>2982</v>
      </c>
      <c r="AA44" s="1265">
        <f t="shared" si="11"/>
        <v>73.66</v>
      </c>
      <c r="AB44" s="1265">
        <f>AA44*'Table 3 Levels 1&amp;2'!C46</f>
        <v>211183.22</v>
      </c>
      <c r="AC44" s="1265">
        <f>'[12]Total Pay Increase'!J44</f>
        <v>271603</v>
      </c>
      <c r="AD44" s="1266"/>
      <c r="AE44" s="1265"/>
      <c r="AF44" s="1265">
        <f>'Table 5B2_RSD_LA'!N23</f>
        <v>290180.8841425397</v>
      </c>
      <c r="AG44" s="416">
        <f t="shared" si="13"/>
        <v>2909341.0941425404</v>
      </c>
    </row>
    <row r="45" spans="1:33" ht="12.75">
      <c r="A45" s="125">
        <v>40</v>
      </c>
      <c r="B45" s="405" t="s">
        <v>341</v>
      </c>
      <c r="C45" s="422">
        <f>'[6]Table 4 Level 3'!E45+'[6]Table 4 Level 3'!I45+'[6]Table 4 Level 3'!M45+'[6]Table 4 Level 3'!Q45</f>
        <v>379.95000000000005</v>
      </c>
      <c r="D45" s="424">
        <f>ROUND(C45*'Table 3 Levels 1&amp;2'!C47,0)</f>
        <v>8586870</v>
      </c>
      <c r="E45" s="425">
        <v>0</v>
      </c>
      <c r="F45" s="424">
        <f t="shared" si="14"/>
        <v>0</v>
      </c>
      <c r="G45" s="426"/>
      <c r="H45" s="424">
        <f t="shared" si="15"/>
        <v>0</v>
      </c>
      <c r="I45" s="428">
        <v>0</v>
      </c>
      <c r="J45" s="428">
        <v>0</v>
      </c>
      <c r="K45" s="428">
        <f t="shared" si="6"/>
        <v>0</v>
      </c>
      <c r="L45" s="429">
        <f>'[6]Table 4 Level 3'!AF45+'[6]Table 4 Level 3'!AG45+'[6]Table 4 Level 3'!AI45</f>
        <v>0</v>
      </c>
      <c r="M45" s="429">
        <f t="shared" si="16"/>
        <v>0</v>
      </c>
      <c r="N45" s="429">
        <f t="shared" si="7"/>
        <v>0</v>
      </c>
      <c r="O45" s="427">
        <f>IF(L45&lt;0,0,'Table 3 Levels 1&amp;2'!C47)</f>
        <v>22600</v>
      </c>
      <c r="P45" s="424">
        <f t="shared" si="17"/>
        <v>526092</v>
      </c>
      <c r="Q45" s="427">
        <f>'Table 3 Levels 1&amp;2'!C47</f>
        <v>22600</v>
      </c>
      <c r="R45" s="424">
        <f t="shared" si="18"/>
        <v>2260000</v>
      </c>
      <c r="S45" s="424"/>
      <c r="T45" s="424">
        <f t="shared" si="8"/>
        <v>11372962</v>
      </c>
      <c r="U45" s="424">
        <f>'[3]Total Pay Increase'!D46</f>
        <v>5604429</v>
      </c>
      <c r="V45" s="309">
        <f>'[4]audit adjustments Feb 1  Oct 1 '!I45</f>
        <v>22603</v>
      </c>
      <c r="W45" s="424">
        <f t="shared" si="9"/>
        <v>247.95</v>
      </c>
      <c r="X45" s="1267">
        <f>W45*'Table 3 Levels 1&amp;2'!C47</f>
        <v>5603670</v>
      </c>
      <c r="Y45" s="1267">
        <f>'[3]Total Pay Increase'!F46</f>
        <v>1635685</v>
      </c>
      <c r="Z45" s="1268">
        <f t="shared" si="10"/>
        <v>22603</v>
      </c>
      <c r="AA45" s="1267">
        <f t="shared" si="11"/>
        <v>72.37</v>
      </c>
      <c r="AB45" s="1267">
        <f>AA45*'Table 3 Levels 1&amp;2'!C47</f>
        <v>1635562</v>
      </c>
      <c r="AC45" s="1267">
        <f>'[12]Total Pay Increase'!J45</f>
        <v>0</v>
      </c>
      <c r="AD45" s="1268">
        <f>'[8]Base Membership'!E47</f>
        <v>22705</v>
      </c>
      <c r="AE45" s="1267">
        <f t="shared" si="19"/>
        <v>0</v>
      </c>
      <c r="AF45" s="1267">
        <f>AE45*'Table 3 Levels 1&amp;2'!C47</f>
        <v>0</v>
      </c>
      <c r="AG45" s="424">
        <f t="shared" si="13"/>
        <v>18612194</v>
      </c>
    </row>
    <row r="46" spans="1:33" ht="12.75">
      <c r="A46" s="124">
        <v>41</v>
      </c>
      <c r="B46" s="404" t="s">
        <v>342</v>
      </c>
      <c r="C46" s="413">
        <f>'[6]Table 4 Level 3'!E46+'[6]Table 4 Level 3'!I46+'[6]Table 4 Level 3'!M46+'[6]Table 4 Level 3'!Q46</f>
        <v>454.65</v>
      </c>
      <c r="D46" s="416">
        <f>ROUND(C46*'Table 3 Levels 1&amp;2'!C48,0)</f>
        <v>625144</v>
      </c>
      <c r="E46" s="417">
        <v>0</v>
      </c>
      <c r="F46" s="416">
        <f t="shared" si="14"/>
        <v>0</v>
      </c>
      <c r="G46" s="418"/>
      <c r="H46" s="416">
        <f t="shared" si="15"/>
        <v>0</v>
      </c>
      <c r="I46" s="420">
        <v>0</v>
      </c>
      <c r="J46" s="420">
        <v>0</v>
      </c>
      <c r="K46" s="420">
        <f t="shared" si="6"/>
        <v>0</v>
      </c>
      <c r="L46" s="421">
        <f>'[6]Table 4 Level 3'!AF46+'[6]Table 4 Level 3'!AG46+'[6]Table 4 Level 3'!AI46</f>
        <v>0</v>
      </c>
      <c r="M46" s="421">
        <f t="shared" si="16"/>
        <v>0</v>
      </c>
      <c r="N46" s="421">
        <f t="shared" si="7"/>
        <v>0</v>
      </c>
      <c r="O46" s="419">
        <f>IF(L46&lt;0,0,'Table 3 Levels 1&amp;2'!C48)</f>
        <v>1375</v>
      </c>
      <c r="P46" s="416">
        <f t="shared" si="17"/>
        <v>32008</v>
      </c>
      <c r="Q46" s="419">
        <f>'Table 3 Levels 1&amp;2'!C48</f>
        <v>1375</v>
      </c>
      <c r="R46" s="416">
        <f t="shared" si="18"/>
        <v>137500</v>
      </c>
      <c r="S46" s="416"/>
      <c r="T46" s="416">
        <f t="shared" si="8"/>
        <v>794652</v>
      </c>
      <c r="U46" s="416">
        <f>'[3]Total Pay Increase'!D47</f>
        <v>403807</v>
      </c>
      <c r="V46" s="184">
        <f>'[4]audit adjustments Feb 1  Oct 1 '!I46</f>
        <v>1429</v>
      </c>
      <c r="W46" s="416">
        <f t="shared" si="9"/>
        <v>282.58</v>
      </c>
      <c r="X46" s="1265">
        <f>W46*'Table 3 Levels 1&amp;2'!C48</f>
        <v>388547.5</v>
      </c>
      <c r="Y46" s="1265">
        <f>'[3]Total Pay Increase'!F47</f>
        <v>144297</v>
      </c>
      <c r="Z46" s="1266">
        <f t="shared" si="10"/>
        <v>1429</v>
      </c>
      <c r="AA46" s="1265">
        <f t="shared" si="11"/>
        <v>100.98</v>
      </c>
      <c r="AB46" s="1265">
        <f>AA46*'Table 3 Levels 1&amp;2'!C48</f>
        <v>138847.5</v>
      </c>
      <c r="AC46" s="1265">
        <f>'[12]Total Pay Increase'!J46</f>
        <v>67989</v>
      </c>
      <c r="AD46" s="1266">
        <f>'[8]Base Membership'!E48</f>
        <v>1416</v>
      </c>
      <c r="AE46" s="1265">
        <f t="shared" si="19"/>
        <v>48.01</v>
      </c>
      <c r="AF46" s="1265">
        <f>AE46*'Table 3 Levels 1&amp;2'!C48</f>
        <v>66013.75</v>
      </c>
      <c r="AG46" s="416">
        <f t="shared" si="13"/>
        <v>1388060.75</v>
      </c>
    </row>
    <row r="47" spans="1:33" ht="12.75">
      <c r="A47" s="124">
        <v>42</v>
      </c>
      <c r="B47" s="404" t="s">
        <v>343</v>
      </c>
      <c r="C47" s="413">
        <f>'[6]Table 4 Level 3'!E47+'[6]Table 4 Level 3'!I47+'[6]Table 4 Level 3'!M47+'[6]Table 4 Level 3'!Q47</f>
        <v>210.82</v>
      </c>
      <c r="D47" s="416">
        <f>ROUND(C47*'Table 3 Levels 1&amp;2'!C49,0)</f>
        <v>694019</v>
      </c>
      <c r="E47" s="417">
        <v>6</v>
      </c>
      <c r="F47" s="416">
        <f t="shared" si="14"/>
        <v>120000</v>
      </c>
      <c r="G47" s="418"/>
      <c r="H47" s="416">
        <f t="shared" si="15"/>
        <v>0</v>
      </c>
      <c r="I47" s="420">
        <v>0</v>
      </c>
      <c r="J47" s="420">
        <v>0</v>
      </c>
      <c r="K47" s="420">
        <f t="shared" si="6"/>
        <v>0</v>
      </c>
      <c r="L47" s="421">
        <f>'[6]Table 4 Level 3'!AF47+'[6]Table 4 Level 3'!AG47+'[6]Table 4 Level 3'!AI47</f>
        <v>0</v>
      </c>
      <c r="M47" s="421">
        <f t="shared" si="16"/>
        <v>0</v>
      </c>
      <c r="N47" s="421">
        <f t="shared" si="7"/>
        <v>0</v>
      </c>
      <c r="O47" s="419">
        <f>IF(L47&lt;0,0,'Table 3 Levels 1&amp;2'!C49)</f>
        <v>3292</v>
      </c>
      <c r="P47" s="416">
        <f t="shared" si="17"/>
        <v>76633</v>
      </c>
      <c r="Q47" s="419">
        <f>'Table 3 Levels 1&amp;2'!C49</f>
        <v>3292</v>
      </c>
      <c r="R47" s="416">
        <f t="shared" si="18"/>
        <v>329200</v>
      </c>
      <c r="S47" s="416"/>
      <c r="T47" s="416">
        <f t="shared" si="8"/>
        <v>1219852</v>
      </c>
      <c r="U47" s="416">
        <f>'[3]Total Pay Increase'!D48</f>
        <v>817482</v>
      </c>
      <c r="V47" s="184">
        <f>'[4]audit adjustments Feb 1  Oct 1 '!I47</f>
        <v>3328</v>
      </c>
      <c r="W47" s="416">
        <f t="shared" si="9"/>
        <v>245.64</v>
      </c>
      <c r="X47" s="1265">
        <f>W47*'Table 3 Levels 1&amp;2'!C49</f>
        <v>808646.88</v>
      </c>
      <c r="Y47" s="1265">
        <f>'[3]Total Pay Increase'!F48</f>
        <v>258976</v>
      </c>
      <c r="Z47" s="1266">
        <f t="shared" si="10"/>
        <v>3328</v>
      </c>
      <c r="AA47" s="1265">
        <f t="shared" si="11"/>
        <v>77.82</v>
      </c>
      <c r="AB47" s="1265">
        <f>AA47*'Table 3 Levels 1&amp;2'!C49</f>
        <v>256183.43999999997</v>
      </c>
      <c r="AC47" s="1265">
        <f>'[12]Total Pay Increase'!J47</f>
        <v>0</v>
      </c>
      <c r="AD47" s="1266">
        <f>'[8]Base Membership'!E49</f>
        <v>3309</v>
      </c>
      <c r="AE47" s="1265">
        <f t="shared" si="19"/>
        <v>0</v>
      </c>
      <c r="AF47" s="1265">
        <f>AE47*'Table 3 Levels 1&amp;2'!C49</f>
        <v>0</v>
      </c>
      <c r="AG47" s="416">
        <f t="shared" si="13"/>
        <v>2284682.32</v>
      </c>
    </row>
    <row r="48" spans="1:33" ht="12.75">
      <c r="A48" s="124">
        <v>43</v>
      </c>
      <c r="B48" s="404" t="s">
        <v>344</v>
      </c>
      <c r="C48" s="413">
        <f>'[6]Table 4 Level 3'!E48+'[6]Table 4 Level 3'!I48+'[6]Table 4 Level 3'!M48+'[6]Table 4 Level 3'!Q48</f>
        <v>227.98</v>
      </c>
      <c r="D48" s="416">
        <f>ROUND(C48*'Table 3 Levels 1&amp;2'!C50,0)</f>
        <v>892086</v>
      </c>
      <c r="E48" s="417">
        <v>0</v>
      </c>
      <c r="F48" s="416">
        <f t="shared" si="14"/>
        <v>0</v>
      </c>
      <c r="G48" s="418"/>
      <c r="H48" s="416">
        <f t="shared" si="15"/>
        <v>0</v>
      </c>
      <c r="I48" s="420">
        <v>0</v>
      </c>
      <c r="J48" s="420">
        <v>0</v>
      </c>
      <c r="K48" s="420">
        <f t="shared" si="6"/>
        <v>0</v>
      </c>
      <c r="L48" s="421">
        <f>'[6]Table 4 Level 3'!AF48+'[6]Table 4 Level 3'!AG48+'[6]Table 4 Level 3'!AI48</f>
        <v>0</v>
      </c>
      <c r="M48" s="421">
        <f t="shared" si="16"/>
        <v>0</v>
      </c>
      <c r="N48" s="421">
        <f t="shared" si="7"/>
        <v>0</v>
      </c>
      <c r="O48" s="419">
        <f>IF(L48&lt;0,0,'Table 3 Levels 1&amp;2'!C50)</f>
        <v>3913</v>
      </c>
      <c r="P48" s="416">
        <f t="shared" si="17"/>
        <v>91088</v>
      </c>
      <c r="Q48" s="419">
        <f>'Table 3 Levels 1&amp;2'!C50</f>
        <v>3913</v>
      </c>
      <c r="R48" s="416">
        <f t="shared" si="18"/>
        <v>391300</v>
      </c>
      <c r="S48" s="416"/>
      <c r="T48" s="416">
        <f t="shared" si="8"/>
        <v>1374474</v>
      </c>
      <c r="U48" s="416">
        <f>'[3]Total Pay Increase'!D49</f>
        <v>1021853</v>
      </c>
      <c r="V48" s="184">
        <f>'[4]audit adjustments Feb 1  Oct 1 '!I48</f>
        <v>3950</v>
      </c>
      <c r="W48" s="416">
        <f t="shared" si="9"/>
        <v>258.7</v>
      </c>
      <c r="X48" s="1265">
        <f>W48*'Table 3 Levels 1&amp;2'!C50</f>
        <v>1012293.1</v>
      </c>
      <c r="Y48" s="1265">
        <f>'[3]Total Pay Increase'!F49</f>
        <v>347336</v>
      </c>
      <c r="Z48" s="1266">
        <f t="shared" si="10"/>
        <v>3950</v>
      </c>
      <c r="AA48" s="1265">
        <f t="shared" si="11"/>
        <v>87.93</v>
      </c>
      <c r="AB48" s="1265">
        <f>AA48*'Table 3 Levels 1&amp;2'!C50</f>
        <v>344070.09</v>
      </c>
      <c r="AC48" s="1265">
        <f>'[12]Total Pay Increase'!J48</f>
        <v>0</v>
      </c>
      <c r="AD48" s="1266">
        <f>'[8]Base Membership'!E50</f>
        <v>3917</v>
      </c>
      <c r="AE48" s="1265">
        <f t="shared" si="19"/>
        <v>0</v>
      </c>
      <c r="AF48" s="1265">
        <f>AE48*'Table 3 Levels 1&amp;2'!C50</f>
        <v>0</v>
      </c>
      <c r="AG48" s="416">
        <f t="shared" si="13"/>
        <v>2730837.19</v>
      </c>
    </row>
    <row r="49" spans="1:33" ht="12.75">
      <c r="A49" s="124">
        <v>44</v>
      </c>
      <c r="B49" s="404" t="s">
        <v>345</v>
      </c>
      <c r="C49" s="413">
        <f>'[6]Table 4 Level 3'!E49+'[6]Table 4 Level 3'!I49+'[6]Table 4 Level 3'!M49+'[6]Table 4 Level 3'!Q49</f>
        <v>205.89999999999998</v>
      </c>
      <c r="D49" s="416">
        <f>ROUND(C49*'Table 3 Levels 1&amp;2'!C51,0)</f>
        <v>897518</v>
      </c>
      <c r="E49" s="417">
        <v>0</v>
      </c>
      <c r="F49" s="416">
        <f t="shared" si="14"/>
        <v>0</v>
      </c>
      <c r="G49" s="418"/>
      <c r="H49" s="416">
        <f t="shared" si="15"/>
        <v>0</v>
      </c>
      <c r="I49" s="420">
        <v>0</v>
      </c>
      <c r="J49" s="420">
        <v>0</v>
      </c>
      <c r="K49" s="420">
        <f t="shared" si="6"/>
        <v>0</v>
      </c>
      <c r="L49" s="421">
        <f>'[6]Table 4 Level 3'!AF49+'[6]Table 4 Level 3'!AG49+'[6]Table 4 Level 3'!AI49</f>
        <v>0</v>
      </c>
      <c r="M49" s="421">
        <f t="shared" si="16"/>
        <v>0</v>
      </c>
      <c r="N49" s="421">
        <f t="shared" si="7"/>
        <v>0</v>
      </c>
      <c r="O49" s="419">
        <f>IF(L49&lt;0,0,'Table 3 Levels 1&amp;2'!C51)</f>
        <v>4359</v>
      </c>
      <c r="P49" s="416">
        <f t="shared" si="17"/>
        <v>101471</v>
      </c>
      <c r="Q49" s="419">
        <f>'Table 3 Levels 1&amp;2'!C51</f>
        <v>4359</v>
      </c>
      <c r="R49" s="416">
        <f t="shared" si="18"/>
        <v>435900</v>
      </c>
      <c r="S49" s="416"/>
      <c r="T49" s="416">
        <f t="shared" si="8"/>
        <v>1434889</v>
      </c>
      <c r="U49" s="416">
        <f>'[3]Total Pay Increase'!D50</f>
        <v>1006563</v>
      </c>
      <c r="V49" s="184">
        <f>'[4]audit adjustments Feb 1  Oct 1 '!I49</f>
        <v>3764</v>
      </c>
      <c r="W49" s="416">
        <f t="shared" si="9"/>
        <v>267.42</v>
      </c>
      <c r="X49" s="1265">
        <f>W49*'Table 3 Levels 1&amp;2'!C51</f>
        <v>1165683.78</v>
      </c>
      <c r="Y49" s="1265">
        <f>'[3]Total Pay Increase'!F50</f>
        <v>246116</v>
      </c>
      <c r="Z49" s="1266">
        <f t="shared" si="10"/>
        <v>3764</v>
      </c>
      <c r="AA49" s="1265">
        <f t="shared" si="11"/>
        <v>65.39</v>
      </c>
      <c r="AB49" s="1265">
        <f>AA49*'Table 3 Levels 1&amp;2'!C51</f>
        <v>285035.01</v>
      </c>
      <c r="AC49" s="1265">
        <f>'[12]Total Pay Increase'!J49</f>
        <v>529542</v>
      </c>
      <c r="AD49" s="1266">
        <f>'[8]Base Membership'!E51</f>
        <v>4255</v>
      </c>
      <c r="AE49" s="1265">
        <f t="shared" si="19"/>
        <v>124.45</v>
      </c>
      <c r="AF49" s="1265">
        <f>AE49*'Table 3 Levels 1&amp;2'!C51</f>
        <v>542477.55</v>
      </c>
      <c r="AG49" s="416">
        <f t="shared" si="13"/>
        <v>3428085.34</v>
      </c>
    </row>
    <row r="50" spans="1:33" ht="12.75">
      <c r="A50" s="125">
        <v>45</v>
      </c>
      <c r="B50" s="405" t="s">
        <v>346</v>
      </c>
      <c r="C50" s="422">
        <f>'[6]Table 4 Level 3'!E50+'[6]Table 4 Level 3'!I50+'[6]Table 4 Level 3'!M50+'[6]Table 4 Level 3'!Q50</f>
        <v>250.63000000000002</v>
      </c>
      <c r="D50" s="424">
        <f>ROUND(C50*'Table 3 Levels 1&amp;2'!C52,0)</f>
        <v>2319581</v>
      </c>
      <c r="E50" s="425">
        <v>0</v>
      </c>
      <c r="F50" s="424">
        <f t="shared" si="14"/>
        <v>0</v>
      </c>
      <c r="G50" s="426"/>
      <c r="H50" s="424">
        <f t="shared" si="15"/>
        <v>0</v>
      </c>
      <c r="I50" s="428">
        <v>9520260</v>
      </c>
      <c r="J50" s="428">
        <v>2883682</v>
      </c>
      <c r="K50" s="428">
        <f t="shared" si="6"/>
        <v>6636578</v>
      </c>
      <c r="L50" s="429">
        <f>'[6]Table 4 Level 3'!AF50+'[6]Table 4 Level 3'!AG50+'[6]Table 4 Level 3'!AI50</f>
        <v>-2334710</v>
      </c>
      <c r="M50" s="429">
        <f t="shared" si="16"/>
        <v>4301868</v>
      </c>
      <c r="N50" s="613">
        <f t="shared" si="7"/>
        <v>-537734</v>
      </c>
      <c r="O50" s="427">
        <f>IF(L50&lt;0,0,'Table 3 Levels 1&amp;2'!C52)</f>
        <v>0</v>
      </c>
      <c r="P50" s="424">
        <f t="shared" si="17"/>
        <v>0</v>
      </c>
      <c r="Q50" s="427">
        <f>'Table 3 Levels 1&amp;2'!C52</f>
        <v>9255</v>
      </c>
      <c r="R50" s="424">
        <f t="shared" si="18"/>
        <v>925500</v>
      </c>
      <c r="S50" s="424"/>
      <c r="T50" s="424">
        <f t="shared" si="8"/>
        <v>9892897</v>
      </c>
      <c r="U50" s="424">
        <f>'[3]Total Pay Increase'!D51</f>
        <v>2759558</v>
      </c>
      <c r="V50" s="309">
        <f>'[4]audit adjustments Feb 1  Oct 1 '!I50</f>
        <v>9353</v>
      </c>
      <c r="W50" s="424">
        <f t="shared" si="9"/>
        <v>295.05</v>
      </c>
      <c r="X50" s="1267">
        <f>W50*'Table 3 Levels 1&amp;2'!C52</f>
        <v>2730687.75</v>
      </c>
      <c r="Y50" s="1267">
        <f>'[3]Total Pay Increase'!F51</f>
        <v>771193</v>
      </c>
      <c r="Z50" s="1268">
        <f t="shared" si="10"/>
        <v>9353</v>
      </c>
      <c r="AA50" s="1267">
        <f t="shared" si="11"/>
        <v>82.45</v>
      </c>
      <c r="AB50" s="1267">
        <f>AA50*'Table 3 Levels 1&amp;2'!C52</f>
        <v>763074.75</v>
      </c>
      <c r="AC50" s="1267">
        <f>'[12]Total Pay Increase'!J50</f>
        <v>1170472</v>
      </c>
      <c r="AD50" s="1268">
        <f>'[8]Base Membership'!E52</f>
        <v>9302</v>
      </c>
      <c r="AE50" s="1267">
        <f t="shared" si="19"/>
        <v>125.83</v>
      </c>
      <c r="AF50" s="1267">
        <f>AE50*'Table 3 Levels 1&amp;2'!C52</f>
        <v>1164556.65</v>
      </c>
      <c r="AG50" s="424">
        <f t="shared" si="13"/>
        <v>14551216.15</v>
      </c>
    </row>
    <row r="51" spans="1:33" ht="12.75">
      <c r="A51" s="124">
        <v>46</v>
      </c>
      <c r="B51" s="404" t="s">
        <v>347</v>
      </c>
      <c r="C51" s="413">
        <f>'[6]Table 4 Level 3'!E51+'[6]Table 4 Level 3'!I51+'[6]Table 4 Level 3'!M51+'[6]Table 4 Level 3'!Q51</f>
        <v>378.38</v>
      </c>
      <c r="D51" s="416">
        <f>ROUND(C51*'Table 3 Levels 1&amp;2'!C53,0)</f>
        <v>431353</v>
      </c>
      <c r="E51" s="417">
        <v>0</v>
      </c>
      <c r="F51" s="416">
        <f t="shared" si="14"/>
        <v>0</v>
      </c>
      <c r="G51" s="418"/>
      <c r="H51" s="416">
        <f t="shared" si="15"/>
        <v>0</v>
      </c>
      <c r="I51" s="420">
        <v>0</v>
      </c>
      <c r="J51" s="420">
        <v>0</v>
      </c>
      <c r="K51" s="420">
        <f t="shared" si="6"/>
        <v>0</v>
      </c>
      <c r="L51" s="421">
        <f>'[6]Table 4 Level 3'!AF51+'[6]Table 4 Level 3'!AG51+'[6]Table 4 Level 3'!AI51</f>
        <v>0</v>
      </c>
      <c r="M51" s="421">
        <f t="shared" si="16"/>
        <v>0</v>
      </c>
      <c r="N51" s="421">
        <f t="shared" si="7"/>
        <v>0</v>
      </c>
      <c r="O51" s="419">
        <f>IF(L51&lt;0,0,'Table 3 Levels 1&amp;2'!C53)</f>
        <v>1140</v>
      </c>
      <c r="P51" s="416">
        <f t="shared" si="17"/>
        <v>26537</v>
      </c>
      <c r="Q51" s="419">
        <f>'Table 3 Levels 1&amp;2'!C53</f>
        <v>1140</v>
      </c>
      <c r="R51" s="416">
        <f t="shared" si="18"/>
        <v>114000</v>
      </c>
      <c r="S51" s="416"/>
      <c r="T51" s="416">
        <f t="shared" si="8"/>
        <v>571890</v>
      </c>
      <c r="U51" s="416">
        <f>'[3]Total Pay Increase'!D52</f>
        <v>266711</v>
      </c>
      <c r="V51" s="184">
        <f>'[4]audit adjustments Feb 1  Oct 1 '!I51</f>
        <v>1209</v>
      </c>
      <c r="W51" s="416">
        <f t="shared" si="9"/>
        <v>220.6</v>
      </c>
      <c r="X51" s="1265">
        <f>W51*'Table 3 Levels 1&amp;2'!C53</f>
        <v>251484</v>
      </c>
      <c r="Y51" s="1265">
        <f>'[3]Total Pay Increase'!F52</f>
        <v>97196</v>
      </c>
      <c r="Z51" s="1266">
        <f t="shared" si="10"/>
        <v>1209</v>
      </c>
      <c r="AA51" s="1265">
        <f t="shared" si="11"/>
        <v>80.39</v>
      </c>
      <c r="AB51" s="1265">
        <f>AA51*'Table 3 Levels 1&amp;2'!C53</f>
        <v>91644.6</v>
      </c>
      <c r="AC51" s="1265">
        <f>'[12]Total Pay Increase'!J51</f>
        <v>56136</v>
      </c>
      <c r="AD51" s="1266">
        <f>'[8]Base Membership'!E53</f>
        <v>1153</v>
      </c>
      <c r="AE51" s="1265">
        <f t="shared" si="19"/>
        <v>48.69</v>
      </c>
      <c r="AF51" s="1265">
        <f>AE51*'Table 3 Levels 1&amp;2'!C53</f>
        <v>55506.6</v>
      </c>
      <c r="AG51" s="416">
        <f t="shared" si="13"/>
        <v>970525.2</v>
      </c>
    </row>
    <row r="52" spans="1:33" ht="12.75">
      <c r="A52" s="124">
        <v>47</v>
      </c>
      <c r="B52" s="404" t="s">
        <v>348</v>
      </c>
      <c r="C52" s="413">
        <f>'[6]Table 4 Level 3'!E52+'[6]Table 4 Level 3'!I52+'[6]Table 4 Level 3'!M52+'[6]Table 4 Level 3'!Q52</f>
        <v>429.57</v>
      </c>
      <c r="D52" s="416">
        <f>ROUND(C52*'Table 3 Levels 1&amp;2'!C54,0)</f>
        <v>1622056</v>
      </c>
      <c r="E52" s="417">
        <v>0</v>
      </c>
      <c r="F52" s="416">
        <f t="shared" si="14"/>
        <v>0</v>
      </c>
      <c r="G52" s="418"/>
      <c r="H52" s="416">
        <f t="shared" si="15"/>
        <v>0</v>
      </c>
      <c r="I52" s="420">
        <v>1851066</v>
      </c>
      <c r="J52" s="420">
        <v>1060614</v>
      </c>
      <c r="K52" s="420">
        <f t="shared" si="6"/>
        <v>790452</v>
      </c>
      <c r="L52" s="421">
        <f>'[6]Table 4 Level 3'!AF52+'[6]Table 4 Level 3'!AG52+'[6]Table 4 Level 3'!AI52</f>
        <v>-158090</v>
      </c>
      <c r="M52" s="421">
        <f t="shared" si="16"/>
        <v>632362</v>
      </c>
      <c r="N52" s="421">
        <f t="shared" si="7"/>
        <v>-79045</v>
      </c>
      <c r="O52" s="419">
        <f>IF(L52&lt;0,0,'Table 3 Levels 1&amp;2'!C54)</f>
        <v>0</v>
      </c>
      <c r="P52" s="416">
        <f t="shared" si="17"/>
        <v>0</v>
      </c>
      <c r="Q52" s="419">
        <f>'Table 3 Levels 1&amp;2'!C54</f>
        <v>3776</v>
      </c>
      <c r="R52" s="416">
        <f t="shared" si="18"/>
        <v>377600</v>
      </c>
      <c r="S52" s="416"/>
      <c r="T52" s="416">
        <f t="shared" si="8"/>
        <v>3613587</v>
      </c>
      <c r="U52" s="416">
        <f>'[3]Total Pay Increase'!D53</f>
        <v>1087697</v>
      </c>
      <c r="V52" s="184">
        <f>'[4]audit adjustments Feb 1  Oct 1 '!I52</f>
        <v>3836</v>
      </c>
      <c r="W52" s="416">
        <f t="shared" si="9"/>
        <v>283.55</v>
      </c>
      <c r="X52" s="1265">
        <f>W52*'Table 3 Levels 1&amp;2'!C54</f>
        <v>1070684.8</v>
      </c>
      <c r="Y52" s="1265">
        <f>'[3]Total Pay Increase'!F53</f>
        <v>270422</v>
      </c>
      <c r="Z52" s="1266">
        <f t="shared" si="10"/>
        <v>3836</v>
      </c>
      <c r="AA52" s="1265">
        <f t="shared" si="11"/>
        <v>70.5</v>
      </c>
      <c r="AB52" s="1265">
        <f>AA52*'Table 3 Levels 1&amp;2'!C54</f>
        <v>266208</v>
      </c>
      <c r="AC52" s="1265">
        <f>'[12]Total Pay Increase'!J52</f>
        <v>482106</v>
      </c>
      <c r="AD52" s="1266">
        <f>'[8]Base Membership'!E54</f>
        <v>3792</v>
      </c>
      <c r="AE52" s="1265">
        <f t="shared" si="19"/>
        <v>127.14</v>
      </c>
      <c r="AF52" s="1265">
        <f>AE52*'Table 3 Levels 1&amp;2'!C54</f>
        <v>480080.64</v>
      </c>
      <c r="AG52" s="416">
        <f t="shared" si="13"/>
        <v>5430560.4399999995</v>
      </c>
    </row>
    <row r="53" spans="1:33" ht="12.75">
      <c r="A53" s="124">
        <v>48</v>
      </c>
      <c r="B53" s="404" t="s">
        <v>428</v>
      </c>
      <c r="C53" s="413">
        <f>'[6]Table 4 Level 3'!E53+'[6]Table 4 Level 3'!I53+'[6]Table 4 Level 3'!M53+'[6]Table 4 Level 3'!Q53</f>
        <v>404.09000000000003</v>
      </c>
      <c r="D53" s="416">
        <f>ROUND(C53*'Table 3 Levels 1&amp;2'!C55,0)</f>
        <v>2456059</v>
      </c>
      <c r="E53" s="417">
        <v>3</v>
      </c>
      <c r="F53" s="416">
        <f t="shared" si="14"/>
        <v>60000</v>
      </c>
      <c r="G53" s="418"/>
      <c r="H53" s="416">
        <f t="shared" si="15"/>
        <v>0</v>
      </c>
      <c r="I53" s="420">
        <v>0</v>
      </c>
      <c r="J53" s="420">
        <v>0</v>
      </c>
      <c r="K53" s="420">
        <f t="shared" si="6"/>
        <v>0</v>
      </c>
      <c r="L53" s="421">
        <f>'[6]Table 4 Level 3'!AF53+'[6]Table 4 Level 3'!AG53+'[6]Table 4 Level 3'!AI53</f>
        <v>0</v>
      </c>
      <c r="M53" s="421">
        <f t="shared" si="16"/>
        <v>0</v>
      </c>
      <c r="N53" s="421">
        <f t="shared" si="7"/>
        <v>0</v>
      </c>
      <c r="O53" s="419">
        <f>IF(L53&lt;0,0,'Table 3 Levels 1&amp;2'!C55)</f>
        <v>6078</v>
      </c>
      <c r="P53" s="416">
        <f t="shared" si="17"/>
        <v>141486</v>
      </c>
      <c r="Q53" s="419">
        <f>'Table 3 Levels 1&amp;2'!C55</f>
        <v>6078</v>
      </c>
      <c r="R53" s="416">
        <f t="shared" si="18"/>
        <v>607800</v>
      </c>
      <c r="S53" s="416"/>
      <c r="T53" s="416">
        <f t="shared" si="8"/>
        <v>3265345</v>
      </c>
      <c r="U53" s="416">
        <f>'[3]Total Pay Increase'!D54</f>
        <v>1754620</v>
      </c>
      <c r="V53" s="184">
        <f>'[4]audit adjustments Feb 1  Oct 1 '!I53</f>
        <v>6340</v>
      </c>
      <c r="W53" s="416">
        <f t="shared" si="9"/>
        <v>276.75</v>
      </c>
      <c r="X53" s="1265">
        <f>W53*'Table 3 Levels 1&amp;2'!C55</f>
        <v>1682086.5</v>
      </c>
      <c r="Y53" s="1265">
        <f>'[3]Total Pay Increase'!F54</f>
        <v>414510</v>
      </c>
      <c r="Z53" s="1266">
        <f t="shared" si="10"/>
        <v>6340</v>
      </c>
      <c r="AA53" s="1265">
        <f t="shared" si="11"/>
        <v>65.38</v>
      </c>
      <c r="AB53" s="1265">
        <f>AA53*'Table 3 Levels 1&amp;2'!C55</f>
        <v>397379.63999999996</v>
      </c>
      <c r="AC53" s="1265">
        <f>'[12]Total Pay Increase'!J53</f>
        <v>769941</v>
      </c>
      <c r="AD53" s="1266">
        <f>'[8]Base Membership'!E55</f>
        <v>6167</v>
      </c>
      <c r="AE53" s="1265">
        <f t="shared" si="19"/>
        <v>124.85</v>
      </c>
      <c r="AF53" s="1265">
        <f>AE53*'Table 3 Levels 1&amp;2'!C55</f>
        <v>758838.2999999999</v>
      </c>
      <c r="AG53" s="416">
        <f t="shared" si="13"/>
        <v>6103649.4399999995</v>
      </c>
    </row>
    <row r="54" spans="1:33" ht="12.75">
      <c r="A54" s="124">
        <v>49</v>
      </c>
      <c r="B54" s="404" t="s">
        <v>349</v>
      </c>
      <c r="C54" s="413">
        <f>'[6]Table 4 Level 3'!E54+'[6]Table 4 Level 3'!I54+'[6]Table 4 Level 3'!M54+'[6]Table 4 Level 3'!Q54</f>
        <v>220.3</v>
      </c>
      <c r="D54" s="416">
        <f>ROUND(C54*'Table 3 Levels 1&amp;2'!C56,0)</f>
        <v>3187521</v>
      </c>
      <c r="E54" s="417">
        <v>15</v>
      </c>
      <c r="F54" s="416">
        <f t="shared" si="14"/>
        <v>300000</v>
      </c>
      <c r="G54" s="418"/>
      <c r="H54" s="416">
        <f t="shared" si="15"/>
        <v>0</v>
      </c>
      <c r="I54" s="420">
        <v>0</v>
      </c>
      <c r="J54" s="420">
        <v>0</v>
      </c>
      <c r="K54" s="420">
        <f t="shared" si="6"/>
        <v>0</v>
      </c>
      <c r="L54" s="421">
        <f>'[6]Table 4 Level 3'!AF54+'[6]Table 4 Level 3'!AG54+'[6]Table 4 Level 3'!AI54</f>
        <v>0</v>
      </c>
      <c r="M54" s="421">
        <f t="shared" si="16"/>
        <v>0</v>
      </c>
      <c r="N54" s="421">
        <f t="shared" si="7"/>
        <v>0</v>
      </c>
      <c r="O54" s="419">
        <f>IF(L54&lt;0,0,'Table 3 Levels 1&amp;2'!C56)</f>
        <v>14469</v>
      </c>
      <c r="P54" s="416">
        <f t="shared" si="17"/>
        <v>336815</v>
      </c>
      <c r="Q54" s="419">
        <f>'Table 3 Levels 1&amp;2'!C56</f>
        <v>14469</v>
      </c>
      <c r="R54" s="416">
        <f t="shared" si="18"/>
        <v>1446900</v>
      </c>
      <c r="S54" s="416"/>
      <c r="T54" s="416">
        <f t="shared" si="8"/>
        <v>5271236</v>
      </c>
      <c r="U54" s="416">
        <f>'[3]Total Pay Increase'!D55</f>
        <v>3536425</v>
      </c>
      <c r="V54" s="184">
        <f>'[4]audit adjustments Feb 1  Oct 1 '!I54</f>
        <v>14795</v>
      </c>
      <c r="W54" s="416">
        <f t="shared" si="9"/>
        <v>239.03</v>
      </c>
      <c r="X54" s="1265">
        <f>W54*'Table 3 Levels 1&amp;2'!C56</f>
        <v>3458525.07</v>
      </c>
      <c r="Y54" s="1265">
        <f>'[3]Total Pay Increase'!F55</f>
        <v>1090129</v>
      </c>
      <c r="Z54" s="1266">
        <f t="shared" si="10"/>
        <v>14795</v>
      </c>
      <c r="AA54" s="1265">
        <f t="shared" si="11"/>
        <v>73.68</v>
      </c>
      <c r="AB54" s="1265">
        <f>AA54*'Table 3 Levels 1&amp;2'!C56</f>
        <v>1066075.9200000002</v>
      </c>
      <c r="AC54" s="1265">
        <f>'[12]Total Pay Increase'!J54</f>
        <v>605618</v>
      </c>
      <c r="AD54" s="1266">
        <f>'[8]Base Membership'!E56</f>
        <v>14618</v>
      </c>
      <c r="AE54" s="1265">
        <f t="shared" si="19"/>
        <v>41.43</v>
      </c>
      <c r="AF54" s="1265">
        <f>AE54*'Table 3 Levels 1&amp;2'!C56</f>
        <v>599450.67</v>
      </c>
      <c r="AG54" s="416">
        <f t="shared" si="13"/>
        <v>10395287.66</v>
      </c>
    </row>
    <row r="55" spans="1:33" ht="12.75">
      <c r="A55" s="125">
        <v>50</v>
      </c>
      <c r="B55" s="405" t="s">
        <v>350</v>
      </c>
      <c r="C55" s="422">
        <f>'[6]Table 4 Level 3'!E55+'[6]Table 4 Level 3'!I55+'[6]Table 4 Level 3'!M55+'[6]Table 4 Level 3'!Q55</f>
        <v>240.62000000000003</v>
      </c>
      <c r="D55" s="424">
        <f>ROUND(C55*'Table 3 Levels 1&amp;2'!C57,0)</f>
        <v>1915095</v>
      </c>
      <c r="E55" s="425">
        <v>16</v>
      </c>
      <c r="F55" s="424">
        <f t="shared" si="14"/>
        <v>320000</v>
      </c>
      <c r="G55" s="426"/>
      <c r="H55" s="424">
        <f t="shared" si="15"/>
        <v>0</v>
      </c>
      <c r="I55" s="428">
        <v>0</v>
      </c>
      <c r="J55" s="428">
        <v>0</v>
      </c>
      <c r="K55" s="428">
        <f t="shared" si="6"/>
        <v>0</v>
      </c>
      <c r="L55" s="429">
        <f>'[6]Table 4 Level 3'!AF55+'[6]Table 4 Level 3'!AG55+'[6]Table 4 Level 3'!AI55</f>
        <v>0</v>
      </c>
      <c r="M55" s="429">
        <f t="shared" si="16"/>
        <v>0</v>
      </c>
      <c r="N55" s="429">
        <f t="shared" si="7"/>
        <v>0</v>
      </c>
      <c r="O55" s="427">
        <f>IF(L55&lt;0,0,'Table 3 Levels 1&amp;2'!C57)</f>
        <v>7959</v>
      </c>
      <c r="P55" s="424">
        <f t="shared" si="17"/>
        <v>185273</v>
      </c>
      <c r="Q55" s="427">
        <f>'Table 3 Levels 1&amp;2'!C57</f>
        <v>7959</v>
      </c>
      <c r="R55" s="424">
        <f t="shared" si="18"/>
        <v>795900</v>
      </c>
      <c r="S55" s="424"/>
      <c r="T55" s="424">
        <f t="shared" si="8"/>
        <v>3216268</v>
      </c>
      <c r="U55" s="424">
        <f>'[3]Total Pay Increase'!D56</f>
        <v>1859521</v>
      </c>
      <c r="V55" s="309">
        <f>'[4]audit adjustments Feb 1  Oct 1 '!I55</f>
        <v>8149</v>
      </c>
      <c r="W55" s="424">
        <f t="shared" si="9"/>
        <v>228.19</v>
      </c>
      <c r="X55" s="1267">
        <f>W55*'Table 3 Levels 1&amp;2'!C57</f>
        <v>1816164.21</v>
      </c>
      <c r="Y55" s="1267">
        <f>'[3]Total Pay Increase'!F56</f>
        <v>559174</v>
      </c>
      <c r="Z55" s="1268">
        <f t="shared" si="10"/>
        <v>8149</v>
      </c>
      <c r="AA55" s="1267">
        <f t="shared" si="11"/>
        <v>68.62</v>
      </c>
      <c r="AB55" s="1267">
        <f>AA55*'Table 3 Levels 1&amp;2'!C57</f>
        <v>546146.5800000001</v>
      </c>
      <c r="AC55" s="1267">
        <f>'[12]Total Pay Increase'!J55</f>
        <v>779962</v>
      </c>
      <c r="AD55" s="1268">
        <f>'[8]Base Membership'!E57</f>
        <v>8038</v>
      </c>
      <c r="AE55" s="1267">
        <f t="shared" si="19"/>
        <v>97.03</v>
      </c>
      <c r="AF55" s="1267">
        <f>AE55*'Table 3 Levels 1&amp;2'!C57</f>
        <v>772261.77</v>
      </c>
      <c r="AG55" s="424">
        <f t="shared" si="13"/>
        <v>6350840.5600000005</v>
      </c>
    </row>
    <row r="56" spans="1:33" ht="12.75">
      <c r="A56" s="124">
        <v>51</v>
      </c>
      <c r="B56" s="404" t="s">
        <v>351</v>
      </c>
      <c r="C56" s="413">
        <f>'[6]Table 4 Level 3'!E56+'[6]Table 4 Level 3'!I56+'[6]Table 4 Level 3'!M56+'[6]Table 4 Level 3'!Q56</f>
        <v>251.76999999999998</v>
      </c>
      <c r="D56" s="416">
        <f>ROUND(C56*'Table 3 Levels 1&amp;2'!C58,0)</f>
        <v>2301430</v>
      </c>
      <c r="E56" s="417">
        <v>0</v>
      </c>
      <c r="F56" s="416">
        <f t="shared" si="14"/>
        <v>0</v>
      </c>
      <c r="G56" s="418"/>
      <c r="H56" s="416">
        <f t="shared" si="15"/>
        <v>0</v>
      </c>
      <c r="I56" s="420">
        <v>0</v>
      </c>
      <c r="J56" s="420">
        <v>0</v>
      </c>
      <c r="K56" s="420">
        <f t="shared" si="6"/>
        <v>0</v>
      </c>
      <c r="L56" s="421">
        <f>'[6]Table 4 Level 3'!AF56+'[6]Table 4 Level 3'!AG56+'[6]Table 4 Level 3'!AI56</f>
        <v>0</v>
      </c>
      <c r="M56" s="421">
        <f t="shared" si="16"/>
        <v>0</v>
      </c>
      <c r="N56" s="421">
        <f t="shared" si="7"/>
        <v>0</v>
      </c>
      <c r="O56" s="419">
        <f>IF(L56&lt;0,0,'Table 3 Levels 1&amp;2'!C58)</f>
        <v>9141</v>
      </c>
      <c r="P56" s="416">
        <f t="shared" si="17"/>
        <v>212788</v>
      </c>
      <c r="Q56" s="419">
        <f>'Table 3 Levels 1&amp;2'!C58</f>
        <v>9141</v>
      </c>
      <c r="R56" s="416">
        <f t="shared" si="18"/>
        <v>914100</v>
      </c>
      <c r="S56" s="416"/>
      <c r="T56" s="416">
        <f t="shared" si="8"/>
        <v>3428318</v>
      </c>
      <c r="U56" s="416">
        <f>'[3]Total Pay Increase'!D57</f>
        <v>2470339</v>
      </c>
      <c r="V56" s="184">
        <f>'[4]audit adjustments Feb 1  Oct 1 '!I56</f>
        <v>9435</v>
      </c>
      <c r="W56" s="416">
        <f t="shared" si="9"/>
        <v>261.83</v>
      </c>
      <c r="X56" s="1265">
        <f>W56*'Table 3 Levels 1&amp;2'!C58</f>
        <v>2393388.03</v>
      </c>
      <c r="Y56" s="1265">
        <f>'[3]Total Pay Increase'!F57</f>
        <v>736689</v>
      </c>
      <c r="Z56" s="1266">
        <f t="shared" si="10"/>
        <v>9435</v>
      </c>
      <c r="AA56" s="1265">
        <f t="shared" si="11"/>
        <v>78.08</v>
      </c>
      <c r="AB56" s="1265">
        <f>AA56*'Table 3 Levels 1&amp;2'!C58</f>
        <v>713729.28</v>
      </c>
      <c r="AC56" s="1265">
        <f>'[12]Total Pay Increase'!J56</f>
        <v>1060785</v>
      </c>
      <c r="AD56" s="1266">
        <f>'[8]Base Membership'!E58</f>
        <v>9226</v>
      </c>
      <c r="AE56" s="1265">
        <f t="shared" si="19"/>
        <v>114.98</v>
      </c>
      <c r="AF56" s="1265">
        <f>AE56*'Table 3 Levels 1&amp;2'!C58</f>
        <v>1051032.18</v>
      </c>
      <c r="AG56" s="416">
        <f t="shared" si="13"/>
        <v>7586467.489999999</v>
      </c>
    </row>
    <row r="57" spans="1:33" ht="12.75">
      <c r="A57" s="124">
        <v>52</v>
      </c>
      <c r="B57" s="404" t="s">
        <v>352</v>
      </c>
      <c r="C57" s="413">
        <f>'[6]Table 4 Level 3'!E57+'[6]Table 4 Level 3'!I57+'[6]Table 4 Level 3'!M57+'[6]Table 4 Level 3'!Q57</f>
        <v>228.71</v>
      </c>
      <c r="D57" s="416">
        <f>ROUND(C57*'Table 3 Levels 1&amp;2'!C59,0)</f>
        <v>7971230</v>
      </c>
      <c r="E57" s="417">
        <v>1</v>
      </c>
      <c r="F57" s="416">
        <f t="shared" si="14"/>
        <v>20000</v>
      </c>
      <c r="G57" s="418"/>
      <c r="H57" s="416">
        <f t="shared" si="15"/>
        <v>0</v>
      </c>
      <c r="I57" s="420">
        <v>0</v>
      </c>
      <c r="J57" s="420">
        <v>0</v>
      </c>
      <c r="K57" s="420">
        <f t="shared" si="6"/>
        <v>0</v>
      </c>
      <c r="L57" s="421">
        <f>'[6]Table 4 Level 3'!AF57+'[6]Table 4 Level 3'!AG57+'[6]Table 4 Level 3'!AI57</f>
        <v>0</v>
      </c>
      <c r="M57" s="421">
        <f t="shared" si="16"/>
        <v>0</v>
      </c>
      <c r="N57" s="421">
        <f t="shared" si="7"/>
        <v>0</v>
      </c>
      <c r="O57" s="419">
        <f>IF(L57&lt;0,0,'Table 3 Levels 1&amp;2'!C59)</f>
        <v>34853</v>
      </c>
      <c r="P57" s="416">
        <f t="shared" si="17"/>
        <v>811323</v>
      </c>
      <c r="Q57" s="419">
        <f>'Table 3 Levels 1&amp;2'!C59</f>
        <v>34853</v>
      </c>
      <c r="R57" s="416">
        <f t="shared" si="18"/>
        <v>3485300</v>
      </c>
      <c r="S57" s="416"/>
      <c r="T57" s="416">
        <f t="shared" si="8"/>
        <v>12287853</v>
      </c>
      <c r="U57" s="416">
        <f>'[3]Total Pay Increase'!D58</f>
        <v>8688367</v>
      </c>
      <c r="V57" s="184">
        <f>'[4]audit adjustments Feb 1  Oct 1 '!I57</f>
        <v>34673</v>
      </c>
      <c r="W57" s="416">
        <f t="shared" si="9"/>
        <v>250.58</v>
      </c>
      <c r="X57" s="1265">
        <f>W57*'Table 3 Levels 1&amp;2'!C59</f>
        <v>8733464.74</v>
      </c>
      <c r="Y57" s="1265">
        <f>'[3]Total Pay Increase'!F58</f>
        <v>2504513</v>
      </c>
      <c r="Z57" s="1266">
        <f t="shared" si="10"/>
        <v>34673</v>
      </c>
      <c r="AA57" s="1265">
        <f t="shared" si="11"/>
        <v>72.23</v>
      </c>
      <c r="AB57" s="1265">
        <f>AA57*'Table 3 Levels 1&amp;2'!C59</f>
        <v>2517432.19</v>
      </c>
      <c r="AC57" s="1265">
        <f>'[12]Total Pay Increase'!J57</f>
        <v>3736530</v>
      </c>
      <c r="AD57" s="1266">
        <f>'[8]Base Membership'!E59</f>
        <v>34969</v>
      </c>
      <c r="AE57" s="1265">
        <f t="shared" si="19"/>
        <v>106.85</v>
      </c>
      <c r="AF57" s="1265">
        <f>AE57*'Table 3 Levels 1&amp;2'!C59</f>
        <v>3724043.05</v>
      </c>
      <c r="AG57" s="416">
        <f t="shared" si="13"/>
        <v>27262792.980000004</v>
      </c>
    </row>
    <row r="58" spans="1:33" ht="12.75">
      <c r="A58" s="124">
        <v>53</v>
      </c>
      <c r="B58" s="404" t="s">
        <v>353</v>
      </c>
      <c r="C58" s="413">
        <f>'[6]Table 4 Level 3'!E58+'[6]Table 4 Level 3'!I58+'[6]Table 4 Level 3'!M58+'[6]Table 4 Level 3'!Q58</f>
        <v>316.79999999999995</v>
      </c>
      <c r="D58" s="416">
        <f>ROUND(C58*'Table 3 Levels 1&amp;2'!C60,0)</f>
        <v>5891530</v>
      </c>
      <c r="E58" s="417">
        <v>4</v>
      </c>
      <c r="F58" s="416">
        <f t="shared" si="14"/>
        <v>80000</v>
      </c>
      <c r="G58" s="418"/>
      <c r="H58" s="416">
        <f t="shared" si="15"/>
        <v>0</v>
      </c>
      <c r="I58" s="420">
        <v>0</v>
      </c>
      <c r="J58" s="420">
        <v>0</v>
      </c>
      <c r="K58" s="420">
        <f t="shared" si="6"/>
        <v>0</v>
      </c>
      <c r="L58" s="421">
        <f>'[6]Table 4 Level 3'!AF58+'[6]Table 4 Level 3'!AG58+'[6]Table 4 Level 3'!AI58</f>
        <v>0</v>
      </c>
      <c r="M58" s="421">
        <f t="shared" si="16"/>
        <v>0</v>
      </c>
      <c r="N58" s="421">
        <f t="shared" si="7"/>
        <v>0</v>
      </c>
      <c r="O58" s="419">
        <f>IF(L58&lt;0,0,'Table 3 Levels 1&amp;2'!C60)</f>
        <v>18597</v>
      </c>
      <c r="P58" s="416">
        <f t="shared" si="17"/>
        <v>432909</v>
      </c>
      <c r="Q58" s="419">
        <f>'Table 3 Levels 1&amp;2'!C60</f>
        <v>18597</v>
      </c>
      <c r="R58" s="416">
        <f t="shared" si="18"/>
        <v>1859700</v>
      </c>
      <c r="S58" s="416"/>
      <c r="T58" s="416">
        <f t="shared" si="8"/>
        <v>8264139</v>
      </c>
      <c r="U58" s="416">
        <f>'[3]Total Pay Increase'!D59</f>
        <v>3980303</v>
      </c>
      <c r="V58" s="184">
        <f>'[4]audit adjustments Feb 1  Oct 1 '!I58</f>
        <v>19022</v>
      </c>
      <c r="W58" s="416">
        <f t="shared" si="9"/>
        <v>209.25</v>
      </c>
      <c r="X58" s="1265">
        <f>W58*'Table 3 Levels 1&amp;2'!C60</f>
        <v>3891422.25</v>
      </c>
      <c r="Y58" s="1265">
        <f>'[3]Total Pay Increase'!F59</f>
        <v>1349225</v>
      </c>
      <c r="Z58" s="1266">
        <f t="shared" si="10"/>
        <v>19022</v>
      </c>
      <c r="AA58" s="1265">
        <f t="shared" si="11"/>
        <v>70.93</v>
      </c>
      <c r="AB58" s="1265">
        <f>AA58*'Table 3 Levels 1&amp;2'!C60</f>
        <v>1319085.2100000002</v>
      </c>
      <c r="AC58" s="1265">
        <f>'[12]Total Pay Increase'!J58</f>
        <v>1740699</v>
      </c>
      <c r="AD58" s="1266">
        <f>'[8]Base Membership'!E60</f>
        <v>18766</v>
      </c>
      <c r="AE58" s="1265">
        <f t="shared" si="19"/>
        <v>92.76</v>
      </c>
      <c r="AF58" s="1265">
        <f>AE58*'Table 3 Levels 1&amp;2'!C60</f>
        <v>1725057.7200000002</v>
      </c>
      <c r="AG58" s="416">
        <f t="shared" si="13"/>
        <v>15199704.180000002</v>
      </c>
    </row>
    <row r="59" spans="1:33" ht="12.75">
      <c r="A59" s="124">
        <v>54</v>
      </c>
      <c r="B59" s="404" t="s">
        <v>354</v>
      </c>
      <c r="C59" s="413">
        <f>'[6]Table 4 Level 3'!E59+'[6]Table 4 Level 3'!I59+'[6]Table 4 Level 3'!M59+'[6]Table 4 Level 3'!Q59</f>
        <v>441.84</v>
      </c>
      <c r="D59" s="416">
        <f>ROUND(C59*'Table 3 Levels 1&amp;2'!C61,0)</f>
        <v>316357</v>
      </c>
      <c r="E59" s="417">
        <v>0</v>
      </c>
      <c r="F59" s="416">
        <f t="shared" si="14"/>
        <v>0</v>
      </c>
      <c r="G59" s="418"/>
      <c r="H59" s="416">
        <f t="shared" si="15"/>
        <v>0</v>
      </c>
      <c r="I59" s="420">
        <v>0</v>
      </c>
      <c r="J59" s="420">
        <v>0</v>
      </c>
      <c r="K59" s="420">
        <f t="shared" si="6"/>
        <v>0</v>
      </c>
      <c r="L59" s="421">
        <f>'[6]Table 4 Level 3'!AF59+'[6]Table 4 Level 3'!AG59+'[6]Table 4 Level 3'!AI59</f>
        <v>0</v>
      </c>
      <c r="M59" s="421">
        <f t="shared" si="16"/>
        <v>0</v>
      </c>
      <c r="N59" s="421">
        <f t="shared" si="7"/>
        <v>0</v>
      </c>
      <c r="O59" s="419">
        <f>IF(L59&lt;0,0,'Table 3 Levels 1&amp;2'!C61)</f>
        <v>716</v>
      </c>
      <c r="P59" s="416">
        <f t="shared" si="17"/>
        <v>16667</v>
      </c>
      <c r="Q59" s="419">
        <f>'Table 3 Levels 1&amp;2'!C61</f>
        <v>716</v>
      </c>
      <c r="R59" s="416">
        <f t="shared" si="18"/>
        <v>71600</v>
      </c>
      <c r="S59" s="416"/>
      <c r="T59" s="416">
        <f t="shared" si="8"/>
        <v>404624</v>
      </c>
      <c r="U59" s="416">
        <f>'[3]Total Pay Increase'!D60</f>
        <v>225416</v>
      </c>
      <c r="V59" s="184">
        <f>'[4]audit adjustments Feb 1  Oct 1 '!I59</f>
        <v>740</v>
      </c>
      <c r="W59" s="416">
        <f t="shared" si="9"/>
        <v>304.62</v>
      </c>
      <c r="X59" s="416">
        <f>W59*'Table 3 Levels 1&amp;2'!C61</f>
        <v>218107.92</v>
      </c>
      <c r="Y59" s="416">
        <f>'[3]Total Pay Increase'!F60</f>
        <v>93636</v>
      </c>
      <c r="Z59" s="184">
        <f t="shared" si="10"/>
        <v>740</v>
      </c>
      <c r="AA59" s="416">
        <f t="shared" si="11"/>
        <v>126.54</v>
      </c>
      <c r="AB59" s="416">
        <f>AA59*'Table 3 Levels 1&amp;2'!C61</f>
        <v>90602.64</v>
      </c>
      <c r="AC59" s="416">
        <f>'[12]Total Pay Increase'!J59</f>
        <v>56641</v>
      </c>
      <c r="AD59" s="184">
        <f>'[8]Base Membership'!E61</f>
        <v>722</v>
      </c>
      <c r="AE59" s="416">
        <f t="shared" si="19"/>
        <v>78.45</v>
      </c>
      <c r="AF59" s="416">
        <f>AE59*'Table 3 Levels 1&amp;2'!C61</f>
        <v>56170.200000000004</v>
      </c>
      <c r="AG59" s="416">
        <f t="shared" si="13"/>
        <v>769504.76</v>
      </c>
    </row>
    <row r="60" spans="1:33" ht="12.75">
      <c r="A60" s="125">
        <v>55</v>
      </c>
      <c r="B60" s="405" t="s">
        <v>355</v>
      </c>
      <c r="C60" s="422">
        <f>'[6]Table 4 Level 3'!E60+'[6]Table 4 Level 3'!I60+'[6]Table 4 Level 3'!M60+'[6]Table 4 Level 3'!Q60</f>
        <v>362.38</v>
      </c>
      <c r="D60" s="424">
        <f>ROUND(C60*'Table 3 Levels 1&amp;2'!C62,0)</f>
        <v>6505808</v>
      </c>
      <c r="E60" s="425">
        <v>0</v>
      </c>
      <c r="F60" s="424">
        <f t="shared" si="14"/>
        <v>0</v>
      </c>
      <c r="G60" s="426"/>
      <c r="H60" s="424">
        <f t="shared" si="15"/>
        <v>0</v>
      </c>
      <c r="I60" s="428">
        <v>0</v>
      </c>
      <c r="J60" s="428">
        <v>0</v>
      </c>
      <c r="K60" s="428">
        <f t="shared" si="6"/>
        <v>0</v>
      </c>
      <c r="L60" s="429">
        <f>'[6]Table 4 Level 3'!AF60+'[6]Table 4 Level 3'!AG60+'[6]Table 4 Level 3'!AI60</f>
        <v>0</v>
      </c>
      <c r="M60" s="429">
        <f t="shared" si="16"/>
        <v>0</v>
      </c>
      <c r="N60" s="429">
        <f t="shared" si="7"/>
        <v>0</v>
      </c>
      <c r="O60" s="427">
        <f>IF(L60&lt;0,0,'Table 3 Levels 1&amp;2'!C62)</f>
        <v>17953</v>
      </c>
      <c r="P60" s="424">
        <f t="shared" si="17"/>
        <v>417917</v>
      </c>
      <c r="Q60" s="427">
        <f>'Table 3 Levels 1&amp;2'!C62</f>
        <v>17953</v>
      </c>
      <c r="R60" s="424">
        <f t="shared" si="18"/>
        <v>1795300</v>
      </c>
      <c r="S60" s="424"/>
      <c r="T60" s="424">
        <f t="shared" si="8"/>
        <v>8719025</v>
      </c>
      <c r="U60" s="424">
        <f>'[3]Total Pay Increase'!D61</f>
        <v>4754629</v>
      </c>
      <c r="V60" s="309">
        <f>'[4]audit adjustments Feb 1  Oct 1 '!I60</f>
        <v>18455</v>
      </c>
      <c r="W60" s="424">
        <f t="shared" si="9"/>
        <v>257.63</v>
      </c>
      <c r="X60" s="424">
        <f>W60*'Table 3 Levels 1&amp;2'!C62</f>
        <v>4625231.39</v>
      </c>
      <c r="Y60" s="424">
        <f>'[3]Total Pay Increase'!F61</f>
        <v>1123715</v>
      </c>
      <c r="Z60" s="309">
        <f t="shared" si="10"/>
        <v>18455</v>
      </c>
      <c r="AA60" s="424">
        <f t="shared" si="11"/>
        <v>60.89</v>
      </c>
      <c r="AB60" s="424">
        <f>AA60*'Table 3 Levels 1&amp;2'!C62</f>
        <v>1093158.17</v>
      </c>
      <c r="AC60" s="424">
        <f>'[12]Total Pay Increase'!J60</f>
        <v>2066888</v>
      </c>
      <c r="AD60" s="309">
        <f>'[8]Base Membership'!E62</f>
        <v>18093</v>
      </c>
      <c r="AE60" s="424">
        <f t="shared" si="19"/>
        <v>114.24</v>
      </c>
      <c r="AF60" s="424">
        <f>AE60*'Table 3 Levels 1&amp;2'!C62</f>
        <v>2050950.72</v>
      </c>
      <c r="AG60" s="424">
        <f t="shared" si="13"/>
        <v>16488365.280000001</v>
      </c>
    </row>
    <row r="61" spans="1:33" ht="12.75">
      <c r="A61" s="124">
        <v>56</v>
      </c>
      <c r="B61" s="404" t="s">
        <v>356</v>
      </c>
      <c r="C61" s="413">
        <f>'[6]Table 4 Level 3'!E61+'[6]Table 4 Level 3'!I61+'[6]Table 4 Level 3'!M61+'[6]Table 4 Level 3'!Q61</f>
        <v>201.42000000000002</v>
      </c>
      <c r="D61" s="416">
        <f>ROUND(C61*'Table 3 Levels 1&amp;2'!C63,0)</f>
        <v>562566</v>
      </c>
      <c r="E61" s="417">
        <v>2</v>
      </c>
      <c r="F61" s="416">
        <f t="shared" si="14"/>
        <v>40000</v>
      </c>
      <c r="G61" s="418"/>
      <c r="H61" s="416">
        <f t="shared" si="15"/>
        <v>0</v>
      </c>
      <c r="I61" s="420">
        <v>0</v>
      </c>
      <c r="J61" s="420">
        <v>0</v>
      </c>
      <c r="K61" s="420">
        <f t="shared" si="6"/>
        <v>0</v>
      </c>
      <c r="L61" s="421">
        <f>'[6]Table 4 Level 3'!AF61+'[6]Table 4 Level 3'!AG61+'[6]Table 4 Level 3'!AI61</f>
        <v>0</v>
      </c>
      <c r="M61" s="421">
        <f t="shared" si="16"/>
        <v>0</v>
      </c>
      <c r="N61" s="421">
        <f t="shared" si="7"/>
        <v>0</v>
      </c>
      <c r="O61" s="419">
        <f>IF(L61&lt;0,0,'Table 3 Levels 1&amp;2'!C63)</f>
        <v>2793</v>
      </c>
      <c r="P61" s="416">
        <f t="shared" si="17"/>
        <v>65017</v>
      </c>
      <c r="Q61" s="419">
        <f>'Table 3 Levels 1&amp;2'!C63</f>
        <v>2793</v>
      </c>
      <c r="R61" s="416">
        <f t="shared" si="18"/>
        <v>279300</v>
      </c>
      <c r="S61" s="416">
        <v>1000000</v>
      </c>
      <c r="T61" s="416">
        <f t="shared" si="8"/>
        <v>1946883</v>
      </c>
      <c r="U61" s="416">
        <f>'[3]Total Pay Increase'!D62</f>
        <v>663656</v>
      </c>
      <c r="V61" s="184">
        <f>'[4]audit adjustments Feb 1  Oct 1 '!I61</f>
        <v>2869</v>
      </c>
      <c r="W61" s="416">
        <f t="shared" si="9"/>
        <v>231.32</v>
      </c>
      <c r="X61" s="416">
        <f>W61*'Table 3 Levels 1&amp;2'!C63</f>
        <v>646076.76</v>
      </c>
      <c r="Y61" s="416">
        <f>'[3]Total Pay Increase'!F62</f>
        <v>236611</v>
      </c>
      <c r="Z61" s="184">
        <f t="shared" si="10"/>
        <v>2869</v>
      </c>
      <c r="AA61" s="416">
        <f t="shared" si="11"/>
        <v>82.47</v>
      </c>
      <c r="AB61" s="416">
        <f>AA61*'Table 3 Levels 1&amp;2'!C63</f>
        <v>230338.71</v>
      </c>
      <c r="AC61" s="416">
        <f>'[12]Total Pay Increase'!J61</f>
        <v>276159</v>
      </c>
      <c r="AD61" s="184">
        <f>'[8]Base Membership'!E63</f>
        <v>2777</v>
      </c>
      <c r="AE61" s="416">
        <f t="shared" si="19"/>
        <v>99.45</v>
      </c>
      <c r="AF61" s="416">
        <f>AE61*'Table 3 Levels 1&amp;2'!C63</f>
        <v>277763.85000000003</v>
      </c>
      <c r="AG61" s="416">
        <f t="shared" si="13"/>
        <v>3101062.32</v>
      </c>
    </row>
    <row r="62" spans="1:33" ht="12.75">
      <c r="A62" s="124">
        <v>57</v>
      </c>
      <c r="B62" s="404" t="s">
        <v>357</v>
      </c>
      <c r="C62" s="413">
        <f>'[6]Table 4 Level 3'!E62+'[6]Table 4 Level 3'!I62+'[6]Table 4 Level 3'!M62+'[6]Table 4 Level 3'!Q62</f>
        <v>366.97</v>
      </c>
      <c r="D62" s="416">
        <f>ROUND(C62*'Table 3 Levels 1&amp;2'!C64,0)</f>
        <v>3147869</v>
      </c>
      <c r="E62" s="417">
        <v>0</v>
      </c>
      <c r="F62" s="416">
        <f t="shared" si="14"/>
        <v>0</v>
      </c>
      <c r="G62" s="418"/>
      <c r="H62" s="416">
        <f t="shared" si="15"/>
        <v>0</v>
      </c>
      <c r="I62" s="420">
        <v>0</v>
      </c>
      <c r="J62" s="420">
        <v>0</v>
      </c>
      <c r="K62" s="420">
        <f t="shared" si="6"/>
        <v>0</v>
      </c>
      <c r="L62" s="421">
        <f>'[6]Table 4 Level 3'!AF62+'[6]Table 4 Level 3'!AG62+'[6]Table 4 Level 3'!AI62</f>
        <v>0</v>
      </c>
      <c r="M62" s="421">
        <f t="shared" si="16"/>
        <v>0</v>
      </c>
      <c r="N62" s="421">
        <f t="shared" si="7"/>
        <v>0</v>
      </c>
      <c r="O62" s="419">
        <f>IF(L62&lt;0,0,'Table 3 Levels 1&amp;2'!C64)</f>
        <v>8578</v>
      </c>
      <c r="P62" s="416">
        <f t="shared" si="17"/>
        <v>199682</v>
      </c>
      <c r="Q62" s="419">
        <f>'Table 3 Levels 1&amp;2'!C64</f>
        <v>8578</v>
      </c>
      <c r="R62" s="416">
        <f t="shared" si="18"/>
        <v>857800</v>
      </c>
      <c r="S62" s="416"/>
      <c r="T62" s="416">
        <f t="shared" si="8"/>
        <v>4205351</v>
      </c>
      <c r="U62" s="416">
        <f>'[3]Total Pay Increase'!D63</f>
        <v>2159922</v>
      </c>
      <c r="V62" s="184">
        <f>'[4]audit adjustments Feb 1  Oct 1 '!I62</f>
        <v>8729</v>
      </c>
      <c r="W62" s="416">
        <f t="shared" si="9"/>
        <v>247.44</v>
      </c>
      <c r="X62" s="416">
        <f>W62*'Table 3 Levels 1&amp;2'!C64</f>
        <v>2122540.32</v>
      </c>
      <c r="Y62" s="416">
        <f>'[3]Total Pay Increase'!F63</f>
        <v>513363</v>
      </c>
      <c r="Z62" s="184">
        <f t="shared" si="10"/>
        <v>8729</v>
      </c>
      <c r="AA62" s="416">
        <f t="shared" si="11"/>
        <v>58.81</v>
      </c>
      <c r="AB62" s="416">
        <f>AA62*'Table 3 Levels 1&amp;2'!C64</f>
        <v>504472.18</v>
      </c>
      <c r="AC62" s="416">
        <f>'[12]Total Pay Increase'!J62</f>
        <v>788657</v>
      </c>
      <c r="AD62" s="184">
        <f>'[8]Base Membership'!E64</f>
        <v>8639</v>
      </c>
      <c r="AE62" s="416">
        <f t="shared" si="19"/>
        <v>91.29</v>
      </c>
      <c r="AF62" s="416">
        <f>AE62*'Table 3 Levels 1&amp;2'!C64</f>
        <v>783085.6200000001</v>
      </c>
      <c r="AG62" s="416">
        <f t="shared" si="13"/>
        <v>7615449.12</v>
      </c>
    </row>
    <row r="63" spans="1:33" ht="12.75">
      <c r="A63" s="124">
        <v>58</v>
      </c>
      <c r="B63" s="404" t="s">
        <v>358</v>
      </c>
      <c r="C63" s="413">
        <f>'[6]Table 4 Level 3'!E63+'[6]Table 4 Level 3'!I63+'[6]Table 4 Level 3'!M63+'[6]Table 4 Level 3'!Q63</f>
        <v>373.68</v>
      </c>
      <c r="D63" s="416">
        <f>ROUND(C63*'Table 3 Levels 1&amp;2'!C65,0)</f>
        <v>3403104</v>
      </c>
      <c r="E63" s="417">
        <v>2</v>
      </c>
      <c r="F63" s="416">
        <f t="shared" si="14"/>
        <v>40000</v>
      </c>
      <c r="G63" s="418"/>
      <c r="H63" s="416">
        <f t="shared" si="15"/>
        <v>0</v>
      </c>
      <c r="I63" s="420">
        <v>0</v>
      </c>
      <c r="J63" s="420">
        <v>0</v>
      </c>
      <c r="K63" s="420">
        <f t="shared" si="6"/>
        <v>0</v>
      </c>
      <c r="L63" s="421">
        <f>'[6]Table 4 Level 3'!AF63+'[6]Table 4 Level 3'!AG63+'[6]Table 4 Level 3'!AI63</f>
        <v>0</v>
      </c>
      <c r="M63" s="421">
        <f t="shared" si="16"/>
        <v>0</v>
      </c>
      <c r="N63" s="421">
        <f t="shared" si="7"/>
        <v>0</v>
      </c>
      <c r="O63" s="419">
        <f>IF(L63&lt;0,0,'Table 3 Levels 1&amp;2'!C65)</f>
        <v>9107</v>
      </c>
      <c r="P63" s="416">
        <f t="shared" si="17"/>
        <v>211997</v>
      </c>
      <c r="Q63" s="419">
        <f>'Table 3 Levels 1&amp;2'!C65</f>
        <v>9107</v>
      </c>
      <c r="R63" s="416">
        <f t="shared" si="18"/>
        <v>910700</v>
      </c>
      <c r="S63" s="416"/>
      <c r="T63" s="416">
        <f t="shared" si="8"/>
        <v>4565801</v>
      </c>
      <c r="U63" s="416">
        <f>'[3]Total Pay Increase'!D64</f>
        <v>2126452</v>
      </c>
      <c r="V63" s="184">
        <f>'[4]audit adjustments Feb 1  Oct 1 '!I63</f>
        <v>8997</v>
      </c>
      <c r="W63" s="416">
        <f t="shared" si="9"/>
        <v>236.35</v>
      </c>
      <c r="X63" s="416">
        <f>W63*'Table 3 Levels 1&amp;2'!C65</f>
        <v>2152439.4499999997</v>
      </c>
      <c r="Y63" s="416">
        <f>'[3]Total Pay Increase'!F64</f>
        <v>718157</v>
      </c>
      <c r="Z63" s="184">
        <f t="shared" si="10"/>
        <v>8997</v>
      </c>
      <c r="AA63" s="416">
        <f t="shared" si="11"/>
        <v>79.82</v>
      </c>
      <c r="AB63" s="416">
        <f>AA63*'Table 3 Levels 1&amp;2'!C65</f>
        <v>726920.74</v>
      </c>
      <c r="AC63" s="416">
        <f>'[12]Total Pay Increase'!J63</f>
        <v>65142</v>
      </c>
      <c r="AD63" s="184">
        <f>'[8]Base Membership'!E65</f>
        <v>9064</v>
      </c>
      <c r="AE63" s="416">
        <f t="shared" si="19"/>
        <v>7.19</v>
      </c>
      <c r="AF63" s="416">
        <f>AE63*'Table 3 Levels 1&amp;2'!C65</f>
        <v>65479.33</v>
      </c>
      <c r="AG63" s="416">
        <f t="shared" si="13"/>
        <v>7510640.52</v>
      </c>
    </row>
    <row r="64" spans="1:33" ht="12.75">
      <c r="A64" s="124">
        <v>59</v>
      </c>
      <c r="B64" s="404" t="s">
        <v>359</v>
      </c>
      <c r="C64" s="413">
        <f>'[6]Table 4 Level 3'!E64+'[6]Table 4 Level 3'!I64+'[6]Table 4 Level 3'!M64+'[6]Table 4 Level 3'!Q64</f>
        <v>354.3299999999999</v>
      </c>
      <c r="D64" s="416">
        <f>ROUND(C64*'Table 3 Levels 1&amp;2'!C66,0)</f>
        <v>1786886</v>
      </c>
      <c r="E64" s="417">
        <v>0</v>
      </c>
      <c r="F64" s="416">
        <f t="shared" si="14"/>
        <v>0</v>
      </c>
      <c r="G64" s="418"/>
      <c r="H64" s="416">
        <f t="shared" si="15"/>
        <v>0</v>
      </c>
      <c r="I64" s="420">
        <v>0</v>
      </c>
      <c r="J64" s="420">
        <v>0</v>
      </c>
      <c r="K64" s="420">
        <f t="shared" si="6"/>
        <v>0</v>
      </c>
      <c r="L64" s="421">
        <f>'[6]Table 4 Level 3'!AF64+'[6]Table 4 Level 3'!AG64+'[6]Table 4 Level 3'!AI64</f>
        <v>0</v>
      </c>
      <c r="M64" s="421">
        <f t="shared" si="16"/>
        <v>0</v>
      </c>
      <c r="N64" s="421">
        <f t="shared" si="7"/>
        <v>0</v>
      </c>
      <c r="O64" s="419">
        <f>IF(L64&lt;0,0,'Table 3 Levels 1&amp;2'!C66)</f>
        <v>5043</v>
      </c>
      <c r="P64" s="416">
        <f t="shared" si="17"/>
        <v>117393</v>
      </c>
      <c r="Q64" s="419">
        <f>'Table 3 Levels 1&amp;2'!C66</f>
        <v>5043</v>
      </c>
      <c r="R64" s="416">
        <f t="shared" si="18"/>
        <v>504300</v>
      </c>
      <c r="S64" s="416"/>
      <c r="T64" s="416">
        <f t="shared" si="8"/>
        <v>2408579</v>
      </c>
      <c r="U64" s="416">
        <f>'[3]Total Pay Increase'!D65</f>
        <v>1257240</v>
      </c>
      <c r="V64" s="184">
        <f>'[4]audit adjustments Feb 1  Oct 1 '!I64</f>
        <v>5047</v>
      </c>
      <c r="W64" s="416">
        <f t="shared" si="9"/>
        <v>249.11</v>
      </c>
      <c r="X64" s="416">
        <f>W64*'Table 3 Levels 1&amp;2'!C66</f>
        <v>1256261.73</v>
      </c>
      <c r="Y64" s="416">
        <f>'[3]Total Pay Increase'!F65</f>
        <v>425160</v>
      </c>
      <c r="Z64" s="184">
        <f t="shared" si="10"/>
        <v>5047</v>
      </c>
      <c r="AA64" s="416">
        <f t="shared" si="11"/>
        <v>84.24</v>
      </c>
      <c r="AB64" s="416">
        <f>AA64*'Table 3 Levels 1&amp;2'!C66</f>
        <v>424822.31999999995</v>
      </c>
      <c r="AC64" s="416">
        <f>'[12]Total Pay Increase'!J64</f>
        <v>9314</v>
      </c>
      <c r="AD64" s="184">
        <f>'[8]Base Membership'!E66</f>
        <v>5051</v>
      </c>
      <c r="AE64" s="416">
        <f t="shared" si="19"/>
        <v>1.84</v>
      </c>
      <c r="AF64" s="416">
        <f>AE64*'Table 3 Levels 1&amp;2'!C66</f>
        <v>9279.12</v>
      </c>
      <c r="AG64" s="416">
        <f t="shared" si="13"/>
        <v>4098942.17</v>
      </c>
    </row>
    <row r="65" spans="1:33" ht="12.75">
      <c r="A65" s="125">
        <v>60</v>
      </c>
      <c r="B65" s="405" t="s">
        <v>360</v>
      </c>
      <c r="C65" s="422">
        <f>'[6]Table 4 Level 3'!E65+'[6]Table 4 Level 3'!I65+'[6]Table 4 Level 3'!M65+'[6]Table 4 Level 3'!Q65</f>
        <v>212.15</v>
      </c>
      <c r="D65" s="424">
        <f>ROUND(C65*'Table 3 Levels 1&amp;2'!C67,0)</f>
        <v>1466381</v>
      </c>
      <c r="E65" s="425">
        <v>0</v>
      </c>
      <c r="F65" s="424">
        <f t="shared" si="14"/>
        <v>0</v>
      </c>
      <c r="G65" s="426"/>
      <c r="H65" s="424">
        <f t="shared" si="15"/>
        <v>0</v>
      </c>
      <c r="I65" s="428">
        <v>0</v>
      </c>
      <c r="J65" s="428">
        <v>0</v>
      </c>
      <c r="K65" s="428">
        <f t="shared" si="6"/>
        <v>0</v>
      </c>
      <c r="L65" s="429">
        <f>'[6]Table 4 Level 3'!AF65+'[6]Table 4 Level 3'!AG65+'[6]Table 4 Level 3'!AI65</f>
        <v>0</v>
      </c>
      <c r="M65" s="429">
        <f t="shared" si="16"/>
        <v>0</v>
      </c>
      <c r="N65" s="429">
        <f t="shared" si="7"/>
        <v>0</v>
      </c>
      <c r="O65" s="427">
        <f>IF(L65&lt;0,0,'Table 3 Levels 1&amp;2'!C67)</f>
        <v>6912</v>
      </c>
      <c r="P65" s="424">
        <f t="shared" si="17"/>
        <v>160900</v>
      </c>
      <c r="Q65" s="427">
        <f>'Table 3 Levels 1&amp;2'!C67</f>
        <v>6912</v>
      </c>
      <c r="R65" s="424">
        <f t="shared" si="18"/>
        <v>691200</v>
      </c>
      <c r="S65" s="424"/>
      <c r="T65" s="424">
        <f t="shared" si="8"/>
        <v>2318481</v>
      </c>
      <c r="U65" s="424">
        <f>'[3]Total Pay Increase'!D66</f>
        <v>1584011</v>
      </c>
      <c r="V65" s="309">
        <f>'[4]audit adjustments Feb 1  Oct 1 '!I65</f>
        <v>7170</v>
      </c>
      <c r="W65" s="424">
        <f t="shared" si="9"/>
        <v>220.92</v>
      </c>
      <c r="X65" s="424">
        <f>W65*'Table 3 Levels 1&amp;2'!C67</f>
        <v>1526999.0399999998</v>
      </c>
      <c r="Y65" s="424">
        <f>'[3]Total Pay Increase'!F66</f>
        <v>464133</v>
      </c>
      <c r="Z65" s="309">
        <f t="shared" si="10"/>
        <v>7170</v>
      </c>
      <c r="AA65" s="424">
        <f t="shared" si="11"/>
        <v>64.73</v>
      </c>
      <c r="AB65" s="424">
        <f>AA65*'Table 3 Levels 1&amp;2'!C67</f>
        <v>447413.76</v>
      </c>
      <c r="AC65" s="424">
        <f>'[12]Total Pay Increase'!J65</f>
        <v>673196</v>
      </c>
      <c r="AD65" s="309">
        <f>'[8]Base Membership'!E67</f>
        <v>6995</v>
      </c>
      <c r="AE65" s="424">
        <f t="shared" si="19"/>
        <v>96.24</v>
      </c>
      <c r="AF65" s="424">
        <f>AE65*'Table 3 Levels 1&amp;2'!C67</f>
        <v>665210.88</v>
      </c>
      <c r="AG65" s="424">
        <f t="shared" si="13"/>
        <v>4958104.68</v>
      </c>
    </row>
    <row r="66" spans="1:33" ht="12.75">
      <c r="A66" s="124">
        <v>61</v>
      </c>
      <c r="B66" s="404" t="s">
        <v>361</v>
      </c>
      <c r="C66" s="413">
        <f>'[6]Table 4 Level 3'!E66+'[6]Table 4 Level 3'!I66+'[6]Table 4 Level 3'!M66+'[6]Table 4 Level 3'!Q66</f>
        <v>385.32</v>
      </c>
      <c r="D66" s="416">
        <f>ROUND(C66*'Table 3 Levels 1&amp;2'!C68,0)</f>
        <v>1334748</v>
      </c>
      <c r="E66" s="417">
        <v>0</v>
      </c>
      <c r="F66" s="416">
        <f t="shared" si="14"/>
        <v>0</v>
      </c>
      <c r="G66" s="418"/>
      <c r="H66" s="416">
        <f t="shared" si="15"/>
        <v>0</v>
      </c>
      <c r="I66" s="420">
        <v>0</v>
      </c>
      <c r="J66" s="420">
        <v>0</v>
      </c>
      <c r="K66" s="420">
        <f t="shared" si="6"/>
        <v>0</v>
      </c>
      <c r="L66" s="421">
        <f>'[6]Table 4 Level 3'!AF66+'[6]Table 4 Level 3'!AG66+'[6]Table 4 Level 3'!AI66</f>
        <v>0</v>
      </c>
      <c r="M66" s="421">
        <f t="shared" si="16"/>
        <v>0</v>
      </c>
      <c r="N66" s="421">
        <f t="shared" si="7"/>
        <v>0</v>
      </c>
      <c r="O66" s="419">
        <f>IF(L66&lt;0,0,'Table 3 Levels 1&amp;2'!C68)</f>
        <v>3464</v>
      </c>
      <c r="P66" s="416">
        <f t="shared" si="17"/>
        <v>80636</v>
      </c>
      <c r="Q66" s="419">
        <f>'Table 3 Levels 1&amp;2'!C68</f>
        <v>3464</v>
      </c>
      <c r="R66" s="416">
        <f t="shared" si="18"/>
        <v>346400</v>
      </c>
      <c r="S66" s="416"/>
      <c r="T66" s="416">
        <f t="shared" si="8"/>
        <v>1761784</v>
      </c>
      <c r="U66" s="416">
        <f>'[3]Total Pay Increase'!D67</f>
        <v>907794</v>
      </c>
      <c r="V66" s="184">
        <f>'[4]audit adjustments Feb 1  Oct 1 '!I66</f>
        <v>3469</v>
      </c>
      <c r="W66" s="416">
        <f t="shared" si="9"/>
        <v>261.69</v>
      </c>
      <c r="X66" s="416">
        <f>W66*'Table 3 Levels 1&amp;2'!C68</f>
        <v>906494.16</v>
      </c>
      <c r="Y66" s="416">
        <f>'[3]Total Pay Increase'!F67</f>
        <v>219635</v>
      </c>
      <c r="Z66" s="184">
        <f t="shared" si="10"/>
        <v>3469</v>
      </c>
      <c r="AA66" s="416">
        <f t="shared" si="11"/>
        <v>63.31</v>
      </c>
      <c r="AB66" s="416">
        <f>AA66*'Table 3 Levels 1&amp;2'!C68</f>
        <v>219305.84</v>
      </c>
      <c r="AC66" s="416">
        <f>'[12]Total Pay Increase'!J66</f>
        <v>428279</v>
      </c>
      <c r="AD66" s="184">
        <f>'[8]Base Membership'!E68</f>
        <v>3471</v>
      </c>
      <c r="AE66" s="416">
        <f t="shared" si="19"/>
        <v>123.39</v>
      </c>
      <c r="AF66" s="416">
        <f>AE66*'Table 3 Levels 1&amp;2'!C68</f>
        <v>427422.96</v>
      </c>
      <c r="AG66" s="416">
        <f t="shared" si="13"/>
        <v>3315006.96</v>
      </c>
    </row>
    <row r="67" spans="1:33" ht="12.75">
      <c r="A67" s="124">
        <v>62</v>
      </c>
      <c r="B67" s="404" t="s">
        <v>362</v>
      </c>
      <c r="C67" s="413">
        <f>'[6]Table 4 Level 3'!E67+'[6]Table 4 Level 3'!I67+'[6]Table 4 Level 3'!M67+'[6]Table 4 Level 3'!Q67</f>
        <v>214.59</v>
      </c>
      <c r="D67" s="416">
        <f>ROUND(C67*'Table 3 Levels 1&amp;2'!C69,0)</f>
        <v>452356</v>
      </c>
      <c r="E67" s="417">
        <v>0</v>
      </c>
      <c r="F67" s="416">
        <f t="shared" si="14"/>
        <v>0</v>
      </c>
      <c r="G67" s="418"/>
      <c r="H67" s="416">
        <f t="shared" si="15"/>
        <v>0</v>
      </c>
      <c r="I67" s="420">
        <v>0</v>
      </c>
      <c r="J67" s="420">
        <v>0</v>
      </c>
      <c r="K67" s="420">
        <f t="shared" si="6"/>
        <v>0</v>
      </c>
      <c r="L67" s="421">
        <f>'[6]Table 4 Level 3'!AF67+'[6]Table 4 Level 3'!AG67+'[6]Table 4 Level 3'!AI67</f>
        <v>0</v>
      </c>
      <c r="M67" s="421">
        <f t="shared" si="16"/>
        <v>0</v>
      </c>
      <c r="N67" s="421">
        <f t="shared" si="7"/>
        <v>0</v>
      </c>
      <c r="O67" s="419">
        <f>IF(L67&lt;0,0,'Table 3 Levels 1&amp;2'!C69)</f>
        <v>2108</v>
      </c>
      <c r="P67" s="416">
        <f t="shared" si="17"/>
        <v>49071</v>
      </c>
      <c r="Q67" s="419">
        <f>'Table 3 Levels 1&amp;2'!C69</f>
        <v>2108</v>
      </c>
      <c r="R67" s="416">
        <f t="shared" si="18"/>
        <v>210800</v>
      </c>
      <c r="S67" s="416"/>
      <c r="T67" s="416">
        <f t="shared" si="8"/>
        <v>712227</v>
      </c>
      <c r="U67" s="416">
        <f>'[3]Total Pay Increase'!D68</f>
        <v>526919</v>
      </c>
      <c r="V67" s="184">
        <f>'[4]audit adjustments Feb 1  Oct 1 '!I67</f>
        <v>2201</v>
      </c>
      <c r="W67" s="416">
        <f t="shared" si="9"/>
        <v>239.4</v>
      </c>
      <c r="X67" s="416">
        <f>W67*'Table 3 Levels 1&amp;2'!C69</f>
        <v>504655.2</v>
      </c>
      <c r="Y67" s="416">
        <f>'[3]Total Pay Increase'!F68</f>
        <v>136671</v>
      </c>
      <c r="Z67" s="184">
        <f t="shared" si="10"/>
        <v>2201</v>
      </c>
      <c r="AA67" s="416">
        <f t="shared" si="11"/>
        <v>62.09</v>
      </c>
      <c r="AB67" s="416">
        <f>AA67*'Table 3 Levels 1&amp;2'!C69</f>
        <v>130885.72</v>
      </c>
      <c r="AC67" s="416">
        <f>'[12]Total Pay Increase'!J67</f>
        <v>0</v>
      </c>
      <c r="AD67" s="184">
        <f>'[8]Base Membership'!E69</f>
        <v>2152</v>
      </c>
      <c r="AE67" s="416">
        <f t="shared" si="19"/>
        <v>0</v>
      </c>
      <c r="AF67" s="416">
        <f>AE67*'Table 3 Levels 1&amp;2'!C69</f>
        <v>0</v>
      </c>
      <c r="AG67" s="416">
        <f t="shared" si="13"/>
        <v>1347767.92</v>
      </c>
    </row>
    <row r="68" spans="1:33" ht="12.75">
      <c r="A68" s="124">
        <v>63</v>
      </c>
      <c r="B68" s="404" t="s">
        <v>363</v>
      </c>
      <c r="C68" s="413">
        <f>'[6]Table 4 Level 3'!E68+'[6]Table 4 Level 3'!I68+'[6]Table 4 Level 3'!M68+'[6]Table 4 Level 3'!Q68</f>
        <v>248.8</v>
      </c>
      <c r="D68" s="416">
        <f>ROUND(C68*'Table 3 Levels 1&amp;2'!C70,0)</f>
        <v>526461</v>
      </c>
      <c r="E68" s="417">
        <v>0</v>
      </c>
      <c r="F68" s="416">
        <f t="shared" si="14"/>
        <v>0</v>
      </c>
      <c r="G68" s="418"/>
      <c r="H68" s="416">
        <f t="shared" si="15"/>
        <v>0</v>
      </c>
      <c r="I68" s="420">
        <v>5908357</v>
      </c>
      <c r="J68" s="420">
        <v>680156</v>
      </c>
      <c r="K68" s="420">
        <f t="shared" si="6"/>
        <v>5228201</v>
      </c>
      <c r="L68" s="421">
        <f>'[6]Table 4 Level 3'!AF68+'[6]Table 4 Level 3'!AG68+'[6]Table 4 Level 3'!AI68</f>
        <v>-1045640</v>
      </c>
      <c r="M68" s="421">
        <f t="shared" si="16"/>
        <v>4182561</v>
      </c>
      <c r="N68" s="421">
        <f t="shared" si="7"/>
        <v>-522820</v>
      </c>
      <c r="O68" s="419">
        <f>IF(L68&lt;0,0,'Table 3 Levels 1&amp;2'!C70)</f>
        <v>0</v>
      </c>
      <c r="P68" s="416">
        <f t="shared" si="17"/>
        <v>0</v>
      </c>
      <c r="Q68" s="419">
        <f>'Table 3 Levels 1&amp;2'!C70</f>
        <v>2116</v>
      </c>
      <c r="R68" s="416">
        <f t="shared" si="18"/>
        <v>211600</v>
      </c>
      <c r="S68" s="416"/>
      <c r="T68" s="416">
        <f t="shared" si="8"/>
        <v>5077958</v>
      </c>
      <c r="U68" s="416">
        <f>'[3]Total Pay Increase'!D69</f>
        <v>648167</v>
      </c>
      <c r="V68" s="184">
        <f>'[4]audit adjustments Feb 1  Oct 1 '!I68</f>
        <v>2214</v>
      </c>
      <c r="W68" s="416">
        <f t="shared" si="9"/>
        <v>292.76</v>
      </c>
      <c r="X68" s="416">
        <f>W68*'Table 3 Levels 1&amp;2'!C70</f>
        <v>619480.16</v>
      </c>
      <c r="Y68" s="416">
        <f>'[3]Total Pay Increase'!F69</f>
        <v>189408</v>
      </c>
      <c r="Z68" s="184">
        <f t="shared" si="10"/>
        <v>2214</v>
      </c>
      <c r="AA68" s="416">
        <f t="shared" si="11"/>
        <v>85.55</v>
      </c>
      <c r="AB68" s="416">
        <f>AA68*'Table 3 Levels 1&amp;2'!C70</f>
        <v>181023.8</v>
      </c>
      <c r="AC68" s="416">
        <f>'[12]Total Pay Increase'!J68</f>
        <v>275313</v>
      </c>
      <c r="AD68" s="184">
        <f>'[8]Base Membership'!E70</f>
        <v>2123</v>
      </c>
      <c r="AE68" s="416">
        <f t="shared" si="19"/>
        <v>129.68</v>
      </c>
      <c r="AF68" s="416">
        <f>AE68*'Table 3 Levels 1&amp;2'!C70</f>
        <v>274402.88</v>
      </c>
      <c r="AG68" s="416">
        <f t="shared" si="13"/>
        <v>6152864.84</v>
      </c>
    </row>
    <row r="69" spans="1:33" ht="12.75">
      <c r="A69" s="124">
        <v>64</v>
      </c>
      <c r="B69" s="404" t="s">
        <v>364</v>
      </c>
      <c r="C69" s="413">
        <f>'[6]Table 4 Level 3'!E69+'[6]Table 4 Level 3'!I69+'[6]Table 4 Level 3'!M69+'[6]Table 4 Level 3'!Q69</f>
        <v>269.21999999999997</v>
      </c>
      <c r="D69" s="416">
        <f>ROUND(C69*'Table 3 Levels 1&amp;2'!C71,0)</f>
        <v>674396</v>
      </c>
      <c r="E69" s="417">
        <v>0</v>
      </c>
      <c r="F69" s="416">
        <f t="shared" si="14"/>
        <v>0</v>
      </c>
      <c r="G69" s="418"/>
      <c r="H69" s="416">
        <f t="shared" si="15"/>
        <v>0</v>
      </c>
      <c r="I69" s="420">
        <v>0</v>
      </c>
      <c r="J69" s="420">
        <v>0</v>
      </c>
      <c r="K69" s="420">
        <f t="shared" si="6"/>
        <v>0</v>
      </c>
      <c r="L69" s="421">
        <f>'[6]Table 4 Level 3'!AF69+'[6]Table 4 Level 3'!AG69+'[6]Table 4 Level 3'!AI69</f>
        <v>0</v>
      </c>
      <c r="M69" s="421">
        <f t="shared" si="16"/>
        <v>0</v>
      </c>
      <c r="N69" s="421">
        <f t="shared" si="7"/>
        <v>0</v>
      </c>
      <c r="O69" s="419">
        <f>IF(L69&lt;0,0,'Table 3 Levels 1&amp;2'!C71)</f>
        <v>2505</v>
      </c>
      <c r="P69" s="416">
        <f t="shared" si="17"/>
        <v>58312</v>
      </c>
      <c r="Q69" s="419">
        <f>'Table 3 Levels 1&amp;2'!C71</f>
        <v>2505</v>
      </c>
      <c r="R69" s="416">
        <f t="shared" si="18"/>
        <v>250500</v>
      </c>
      <c r="S69" s="416"/>
      <c r="T69" s="416">
        <f t="shared" si="8"/>
        <v>983208</v>
      </c>
      <c r="U69" s="416">
        <f>'[3]Total Pay Increase'!D70</f>
        <v>605081</v>
      </c>
      <c r="V69" s="184">
        <f>'[4]audit adjustments Feb 1  Oct 1 '!I69</f>
        <v>2570</v>
      </c>
      <c r="W69" s="416">
        <f t="shared" si="9"/>
        <v>235.44</v>
      </c>
      <c r="X69" s="416">
        <f>W69*'Table 3 Levels 1&amp;2'!C71</f>
        <v>589777.2</v>
      </c>
      <c r="Y69" s="416">
        <f>'[3]Total Pay Increase'!F70</f>
        <v>226162</v>
      </c>
      <c r="Z69" s="184">
        <f t="shared" si="10"/>
        <v>2570</v>
      </c>
      <c r="AA69" s="416">
        <f t="shared" si="11"/>
        <v>88</v>
      </c>
      <c r="AB69" s="416">
        <f>AA69*'Table 3 Levels 1&amp;2'!C71</f>
        <v>220440</v>
      </c>
      <c r="AC69" s="416">
        <f>'[12]Total Pay Increase'!J69</f>
        <v>0</v>
      </c>
      <c r="AD69" s="184">
        <f>'[8]Base Membership'!E71</f>
        <v>2554</v>
      </c>
      <c r="AE69" s="416">
        <f t="shared" si="19"/>
        <v>0</v>
      </c>
      <c r="AF69" s="416">
        <f>AE69*'Table 3 Levels 1&amp;2'!C71</f>
        <v>0</v>
      </c>
      <c r="AG69" s="416">
        <f t="shared" si="13"/>
        <v>1793425.2</v>
      </c>
    </row>
    <row r="70" spans="1:33" ht="12.75">
      <c r="A70" s="125">
        <v>65</v>
      </c>
      <c r="B70" s="405" t="s">
        <v>365</v>
      </c>
      <c r="C70" s="422">
        <f>'[6]Table 4 Level 3'!E70+'[6]Table 4 Level 3'!I70+'[6]Table 4 Level 3'!M70+'[6]Table 4 Level 3'!Q70</f>
        <v>383.59000000000003</v>
      </c>
      <c r="D70" s="424">
        <f>ROUND(C70*'Table 3 Levels 1&amp;2'!C72,0)</f>
        <v>3185715</v>
      </c>
      <c r="E70" s="431">
        <v>0</v>
      </c>
      <c r="F70" s="424">
        <f>ROUND($F$4*E70,0)</f>
        <v>0</v>
      </c>
      <c r="G70" s="426"/>
      <c r="H70" s="432">
        <f>ROUND(G70*$H$4,0)</f>
        <v>0</v>
      </c>
      <c r="I70" s="428">
        <v>0</v>
      </c>
      <c r="J70" s="428">
        <v>0</v>
      </c>
      <c r="K70" s="428">
        <f t="shared" si="6"/>
        <v>0</v>
      </c>
      <c r="L70" s="429">
        <f>'[6]Table 4 Level 3'!AF70+'[6]Table 4 Level 3'!AG70+'[6]Table 4 Level 3'!AI70</f>
        <v>0</v>
      </c>
      <c r="M70" s="429">
        <f>SUM(K70:L70)</f>
        <v>0</v>
      </c>
      <c r="N70" s="429">
        <f t="shared" si="7"/>
        <v>0</v>
      </c>
      <c r="O70" s="427">
        <f>IF(L70&lt;0,0,'Table 3 Levels 1&amp;2'!C72)</f>
        <v>8305</v>
      </c>
      <c r="P70" s="424">
        <f>ROUND($P$4*O70,0)</f>
        <v>193327</v>
      </c>
      <c r="Q70" s="427">
        <f>'Table 3 Levels 1&amp;2'!C72</f>
        <v>8305</v>
      </c>
      <c r="R70" s="424">
        <f>ROUND(Q70*$R$4,0)</f>
        <v>830500</v>
      </c>
      <c r="S70" s="424"/>
      <c r="T70" s="424">
        <f t="shared" si="8"/>
        <v>4209542</v>
      </c>
      <c r="U70" s="424">
        <f>'[3]Total Pay Increase'!D71</f>
        <v>2100186</v>
      </c>
      <c r="V70" s="309">
        <f>'[4]audit adjustments Feb 1  Oct 1 '!I70</f>
        <v>8531</v>
      </c>
      <c r="W70" s="424">
        <f t="shared" si="9"/>
        <v>246.18</v>
      </c>
      <c r="X70" s="424">
        <f>W70*'Table 3 Levels 1&amp;2'!C72</f>
        <v>2044524.9000000001</v>
      </c>
      <c r="Y70" s="424">
        <f>'[3]Total Pay Increase'!F71</f>
        <v>761278</v>
      </c>
      <c r="Z70" s="309">
        <f t="shared" si="10"/>
        <v>8531</v>
      </c>
      <c r="AA70" s="424">
        <f t="shared" si="11"/>
        <v>89.24</v>
      </c>
      <c r="AB70" s="424">
        <f>AA70*'Table 3 Levels 1&amp;2'!C72</f>
        <v>741138.2</v>
      </c>
      <c r="AC70" s="424">
        <f>'[12]Total Pay Increase'!J70</f>
        <v>926118</v>
      </c>
      <c r="AD70" s="309">
        <f>'[8]Base Membership'!E72</f>
        <v>8411</v>
      </c>
      <c r="AE70" s="424">
        <f t="shared" si="19"/>
        <v>110.11</v>
      </c>
      <c r="AF70" s="424">
        <f>AE70*'Table 3 Levels 1&amp;2'!C72</f>
        <v>914463.55</v>
      </c>
      <c r="AG70" s="424">
        <f t="shared" si="13"/>
        <v>7909668.65</v>
      </c>
    </row>
    <row r="71" spans="1:33" ht="12.75">
      <c r="A71" s="165">
        <v>66</v>
      </c>
      <c r="B71" s="406" t="s">
        <v>366</v>
      </c>
      <c r="C71" s="415">
        <f>'[6]Table 4 Level 3'!E71+'[6]Table 4 Level 3'!I71+'[6]Table 4 Level 3'!M71+'[6]Table 4 Level 3'!Q71</f>
        <v>238.75</v>
      </c>
      <c r="D71" s="414">
        <f>ROUND(C71*'Table 3 Levels 1&amp;2'!C73,0)</f>
        <v>517133</v>
      </c>
      <c r="E71" s="433">
        <v>0</v>
      </c>
      <c r="F71" s="414">
        <f>ROUND($F$4*E71,0)</f>
        <v>0</v>
      </c>
      <c r="G71" s="418"/>
      <c r="H71" s="416">
        <f>ROUND(G71*$H$4,0)</f>
        <v>0</v>
      </c>
      <c r="I71" s="435">
        <v>0</v>
      </c>
      <c r="J71" s="435">
        <v>0</v>
      </c>
      <c r="K71" s="435">
        <f>I71-J71</f>
        <v>0</v>
      </c>
      <c r="L71" s="436">
        <f>'[6]Table 4 Level 3'!AF71+'[6]Table 4 Level 3'!AG71+'[6]Table 4 Level 3'!AI71</f>
        <v>0</v>
      </c>
      <c r="M71" s="436">
        <f>SUM(K71:L71)</f>
        <v>0</v>
      </c>
      <c r="N71" s="436">
        <f>ROUND(-M71/8,0)</f>
        <v>0</v>
      </c>
      <c r="O71" s="434">
        <f>IF(L71&lt;0,0,'Table 3 Levels 1&amp;2'!C73)</f>
        <v>2166</v>
      </c>
      <c r="P71" s="414">
        <f>ROUND($P$4*O71,0)</f>
        <v>50421</v>
      </c>
      <c r="Q71" s="434">
        <f>'Table 3 Levels 1&amp;2'!C73</f>
        <v>2166</v>
      </c>
      <c r="R71" s="414">
        <f>ROUND(Q71*$R$4,0)</f>
        <v>216600</v>
      </c>
      <c r="S71" s="414"/>
      <c r="T71" s="414">
        <f>D71+F71+H71+J71+K71+L71+N71+P71+R71+S71</f>
        <v>784154</v>
      </c>
      <c r="U71" s="414">
        <f>'[3]Total Pay Increase'!D72</f>
        <v>598967</v>
      </c>
      <c r="V71" s="308">
        <f>'[4]audit adjustments Feb 1  Oct 1 '!I71</f>
        <v>2168</v>
      </c>
      <c r="W71" s="414">
        <f>ROUND(U71/V71,2)</f>
        <v>276.28</v>
      </c>
      <c r="X71" s="414">
        <f>W71*'Table 3 Levels 1&amp;2'!C73</f>
        <v>598422.48</v>
      </c>
      <c r="Y71" s="414">
        <f>'[3]Total Pay Increase'!F72</f>
        <v>222019</v>
      </c>
      <c r="Z71" s="308">
        <f>V71</f>
        <v>2168</v>
      </c>
      <c r="AA71" s="414">
        <f>ROUND(Y71/Z71,2)</f>
        <v>102.41</v>
      </c>
      <c r="AB71" s="414">
        <f>AA71*'Table 3 Levels 1&amp;2'!C73</f>
        <v>221820.06</v>
      </c>
      <c r="AC71" s="414">
        <f>'[12]Total Pay Increase'!J71</f>
        <v>250689</v>
      </c>
      <c r="AD71" s="308">
        <f>'[8]Base Membership'!E73</f>
        <v>2226</v>
      </c>
      <c r="AE71" s="414">
        <f>ROUND(AC71/AD71,2)</f>
        <v>112.62</v>
      </c>
      <c r="AF71" s="414">
        <f>AE71*'Table 3 Levels 1&amp;2'!C73</f>
        <v>243934.92</v>
      </c>
      <c r="AG71" s="414">
        <f>T71+X71+AB71+AF71</f>
        <v>1848331.46</v>
      </c>
    </row>
    <row r="72" spans="1:33" ht="12.75">
      <c r="A72" s="469">
        <v>67</v>
      </c>
      <c r="B72" s="407" t="s">
        <v>135</v>
      </c>
      <c r="C72" s="413">
        <f>'[6]Table 4 Level 3'!E72+'[6]Table 4 Level 3'!I72+'[6]Table 4 Level 3'!M72+'[6]Table 4 Level 3'!Q72</f>
        <v>358.01</v>
      </c>
      <c r="D72" s="416">
        <f>ROUND(C72*'Table 3 Levels 1&amp;2'!C74,0)</f>
        <v>1607107</v>
      </c>
      <c r="E72" s="417">
        <v>0</v>
      </c>
      <c r="F72" s="416">
        <f>ROUND($F$4*E72,0)</f>
        <v>0</v>
      </c>
      <c r="G72" s="417"/>
      <c r="H72" s="416">
        <f>ROUND(G72*$H$4,0)</f>
        <v>0</v>
      </c>
      <c r="I72" s="420">
        <v>0</v>
      </c>
      <c r="J72" s="420">
        <v>0</v>
      </c>
      <c r="K72" s="420">
        <f>I72-J72</f>
        <v>0</v>
      </c>
      <c r="L72" s="421">
        <f>'[6]Table 4 Level 3'!AF72+'[6]Table 4 Level 3'!AG72+'[6]Table 4 Level 3'!AI72</f>
        <v>0</v>
      </c>
      <c r="M72" s="421">
        <f>SUM(K72:L72)</f>
        <v>0</v>
      </c>
      <c r="N72" s="421">
        <f>ROUND(-M72/8,0)</f>
        <v>0</v>
      </c>
      <c r="O72" s="419">
        <f>IF(L72&lt;0,0,'Table 3 Levels 1&amp;2'!C74)</f>
        <v>4489</v>
      </c>
      <c r="P72" s="416">
        <f>ROUND($P$4*O72,0)</f>
        <v>104497</v>
      </c>
      <c r="Q72" s="419">
        <f>'Table 3 Levels 1&amp;2'!C74</f>
        <v>4489</v>
      </c>
      <c r="R72" s="416">
        <f>ROUND(Q72*$R$4,0)</f>
        <v>448900</v>
      </c>
      <c r="S72" s="416"/>
      <c r="T72" s="416">
        <f>D72+F72+H72+J72+K72+L72+N72+P72+R72+S72</f>
        <v>2160504</v>
      </c>
      <c r="U72" s="416">
        <f>'[3]Total Pay Increase'!D73</f>
        <v>924116</v>
      </c>
      <c r="V72" s="184">
        <f>'[4]audit adjustments Feb 1  Oct 1 '!I72</f>
        <v>4130</v>
      </c>
      <c r="W72" s="416">
        <f>ROUND(U72/V72,2)</f>
        <v>223.76</v>
      </c>
      <c r="X72" s="416">
        <f>W72*'Table 3 Levels 1&amp;2'!C74</f>
        <v>1004458.64</v>
      </c>
      <c r="Y72" s="416">
        <f>'[3]Total Pay Increase'!F73</f>
        <v>161991</v>
      </c>
      <c r="Z72" s="184">
        <f>V72</f>
        <v>4130</v>
      </c>
      <c r="AA72" s="416">
        <f>ROUND(Y72/Z72,2)</f>
        <v>39.22</v>
      </c>
      <c r="AB72" s="416">
        <f>AA72*'Table 3 Levels 1&amp;2'!C74</f>
        <v>176058.58</v>
      </c>
      <c r="AC72" s="416">
        <f>'[12]Total Pay Increase'!J72</f>
        <v>422271</v>
      </c>
      <c r="AD72" s="184">
        <f>'[8]Base Membership'!E74</f>
        <v>4463</v>
      </c>
      <c r="AE72" s="416">
        <f>ROUND(AC72/AD72,2)</f>
        <v>94.62</v>
      </c>
      <c r="AF72" s="416">
        <f>AE72*'Table 3 Levels 1&amp;2'!C74</f>
        <v>424749.18</v>
      </c>
      <c r="AG72" s="416">
        <f>T72+X72+AB72+AF72</f>
        <v>3765770.4000000004</v>
      </c>
    </row>
    <row r="73" spans="1:33" ht="12.75">
      <c r="A73" s="124">
        <v>68</v>
      </c>
      <c r="B73" s="404" t="s">
        <v>132</v>
      </c>
      <c r="C73" s="413">
        <f>'[6]Table 4 Level 3'!E73+'[6]Table 4 Level 3'!I73+'[6]Table 4 Level 3'!M73+'[6]Table 4 Level 3'!Q73</f>
        <v>388.91</v>
      </c>
      <c r="D73" s="416">
        <f>ROUND(C73*'Table 3 Levels 1&amp;2'!C75,0)</f>
        <v>706261</v>
      </c>
      <c r="E73" s="417">
        <v>1</v>
      </c>
      <c r="F73" s="416">
        <f>ROUND($F$4*E73,0)</f>
        <v>20000</v>
      </c>
      <c r="G73" s="418"/>
      <c r="H73" s="416">
        <f>ROUND(G73*$H$4,0)</f>
        <v>0</v>
      </c>
      <c r="I73" s="420">
        <v>0</v>
      </c>
      <c r="J73" s="420">
        <v>0</v>
      </c>
      <c r="K73" s="420">
        <f>I73-J73</f>
        <v>0</v>
      </c>
      <c r="L73" s="421">
        <f>'[6]Table 4 Level 3'!AF73+'[6]Table 4 Level 3'!AG73+'[6]Table 4 Level 3'!AI73</f>
        <v>0</v>
      </c>
      <c r="M73" s="421">
        <f>SUM(K73:L73)</f>
        <v>0</v>
      </c>
      <c r="N73" s="421">
        <f>ROUND(-M73/8,0)</f>
        <v>0</v>
      </c>
      <c r="O73" s="419">
        <f>IF(L73&lt;0,0,'Table 3 Levels 1&amp;2'!C75)</f>
        <v>1816</v>
      </c>
      <c r="P73" s="416">
        <f>ROUND($P$4*O73,0)</f>
        <v>42274</v>
      </c>
      <c r="Q73" s="419">
        <f>'Table 3 Levels 1&amp;2'!C75</f>
        <v>1816</v>
      </c>
      <c r="R73" s="416">
        <f>ROUND(Q73*$R$4,0)</f>
        <v>181600</v>
      </c>
      <c r="S73" s="416"/>
      <c r="T73" s="416">
        <f>D73+F73+H73+J73+K73+L73+N73+P73+R73+S73</f>
        <v>950135</v>
      </c>
      <c r="U73" s="416">
        <f>'[3]Total Pay Increase'!D74</f>
        <v>465705</v>
      </c>
      <c r="V73" s="184">
        <f>'[4]audit adjustments Feb 1  Oct 1 '!I73</f>
        <v>1917</v>
      </c>
      <c r="W73" s="416">
        <f>ROUND(U73/V73,2)</f>
        <v>242.93</v>
      </c>
      <c r="X73" s="416">
        <f>W73*'Table 3 Levels 1&amp;2'!C75</f>
        <v>441160.88</v>
      </c>
      <c r="Y73" s="416">
        <f>'[3]Total Pay Increase'!F74</f>
        <v>127548</v>
      </c>
      <c r="Z73" s="184">
        <f>V73</f>
        <v>1917</v>
      </c>
      <c r="AA73" s="416">
        <f>ROUND(Y73/Z73,2)</f>
        <v>66.54</v>
      </c>
      <c r="AB73" s="416">
        <f>AA73*'Table 3 Levels 1&amp;2'!C75</f>
        <v>120836.64000000001</v>
      </c>
      <c r="AC73" s="416">
        <f>'[12]Total Pay Increase'!J73</f>
        <v>178779</v>
      </c>
      <c r="AD73" s="184">
        <f>'[8]Base Membership'!E75</f>
        <v>1782</v>
      </c>
      <c r="AE73" s="416">
        <f>ROUND(AC73/AD73,2)</f>
        <v>100.32</v>
      </c>
      <c r="AF73" s="416">
        <f>AE73*'Table 3 Levels 1&amp;2'!C75</f>
        <v>182181.12</v>
      </c>
      <c r="AG73" s="416">
        <f>T73+X73+AB73+AF73</f>
        <v>1694313.6400000001</v>
      </c>
    </row>
    <row r="74" spans="1:33" ht="12.75">
      <c r="A74" s="125">
        <v>69</v>
      </c>
      <c r="B74" s="405" t="s">
        <v>447</v>
      </c>
      <c r="C74" s="422">
        <f>'[6]Table 4 Level 3'!E74+'[6]Table 4 Level 3'!I74+'[6]Table 4 Level 3'!M74+'[6]Table 4 Level 3'!Q74</f>
        <v>379.13</v>
      </c>
      <c r="D74" s="424">
        <f>ROUND(C74*'Table 3 Levels 1&amp;2'!C76,0)</f>
        <v>1341362</v>
      </c>
      <c r="E74" s="431">
        <v>0</v>
      </c>
      <c r="F74" s="424">
        <f>ROUND($F$4*E74,0)</f>
        <v>0</v>
      </c>
      <c r="G74" s="426"/>
      <c r="H74" s="432">
        <f>ROUND(G74*$H$4,0)</f>
        <v>0</v>
      </c>
      <c r="I74" s="428">
        <v>0</v>
      </c>
      <c r="J74" s="428">
        <v>0</v>
      </c>
      <c r="K74" s="428">
        <f>I74-J74</f>
        <v>0</v>
      </c>
      <c r="L74" s="429">
        <f>'[6]Table 4 Level 3'!AF74+'[6]Table 4 Level 3'!AG74+'[6]Table 4 Level 3'!AI74</f>
        <v>0</v>
      </c>
      <c r="M74" s="429">
        <f>SUM(K74:L74)</f>
        <v>0</v>
      </c>
      <c r="N74" s="429">
        <f>ROUND(-M74/8,0)</f>
        <v>0</v>
      </c>
      <c r="O74" s="427">
        <f>IF(L74&lt;0,0,'Table 3 Levels 1&amp;2'!C76)</f>
        <v>3538</v>
      </c>
      <c r="P74" s="424">
        <f>ROUND($P$4*O74,0)</f>
        <v>82359</v>
      </c>
      <c r="Q74" s="427">
        <f>'Table 3 Levels 1&amp;2'!C76</f>
        <v>3538</v>
      </c>
      <c r="R74" s="424">
        <f>ROUND(Q74*$R$4,0)</f>
        <v>353800</v>
      </c>
      <c r="S74" s="424"/>
      <c r="T74" s="424">
        <f>D74+F74+H74+J74+K74+L74+N74+P74+R74+S74</f>
        <v>1777521</v>
      </c>
      <c r="U74" s="424">
        <f>'[3]Total Pay Increase'!D75</f>
        <v>620577</v>
      </c>
      <c r="V74" s="423">
        <f>'[4]audit adjustments Feb 1  Oct 1 '!I74</f>
        <v>3051</v>
      </c>
      <c r="W74" s="424">
        <f>ROUND(U74/V74,2)</f>
        <v>203.4</v>
      </c>
      <c r="X74" s="424">
        <f>W74*'Table 3 Levels 1&amp;2'!C76</f>
        <v>719629.2000000001</v>
      </c>
      <c r="Y74" s="424">
        <f>'[3]Total Pay Increase'!F75</f>
        <v>87394</v>
      </c>
      <c r="Z74" s="423">
        <f>V74</f>
        <v>3051</v>
      </c>
      <c r="AA74" s="424">
        <f>ROUND(Y74/Z74,2)</f>
        <v>28.64</v>
      </c>
      <c r="AB74" s="424">
        <f>AA74*'Table 3 Levels 1&amp;2'!C76</f>
        <v>101328.32</v>
      </c>
      <c r="AC74" s="424">
        <f>'[12]Total Pay Increase'!J74</f>
        <v>334252</v>
      </c>
      <c r="AD74" s="423">
        <f>'[8]Base Membership'!E76</f>
        <v>3537</v>
      </c>
      <c r="AE74" s="424">
        <f>ROUND(AC74/AD74,2)</f>
        <v>94.5</v>
      </c>
      <c r="AF74" s="424">
        <f>AE74*'Table 3 Levels 1&amp;2'!C76</f>
        <v>334341</v>
      </c>
      <c r="AG74" s="424">
        <f>T74+X74+AB74+AF74</f>
        <v>2932819.52</v>
      </c>
    </row>
    <row r="75" spans="1:33" s="8" customFormat="1" ht="13.5" thickBot="1">
      <c r="A75" s="581"/>
      <c r="B75" s="582" t="s">
        <v>367</v>
      </c>
      <c r="C75" s="584">
        <f>'[6]Table 4 Level 3'!E75+'[6]Table 4 Level 3'!I75+'[6]Table 4 Level 3'!M75+'[6]Table 4 Level 3'!Q75</f>
        <v>303.87</v>
      </c>
      <c r="D75" s="583">
        <f>SUM(D6:D74)</f>
        <v>194363072</v>
      </c>
      <c r="E75" s="585">
        <f>SUM(E6:E74)</f>
        <v>262</v>
      </c>
      <c r="F75" s="588">
        <f>SUM(F6:F74)</f>
        <v>5240000</v>
      </c>
      <c r="G75" s="589">
        <f>SUM(G6:G74)</f>
        <v>0</v>
      </c>
      <c r="H75" s="588">
        <f>SUM(H6:H74)</f>
        <v>0</v>
      </c>
      <c r="I75" s="732">
        <f aca="true" t="shared" si="20" ref="I75:P75">SUM(I6:I74)</f>
        <v>76792933</v>
      </c>
      <c r="J75" s="732">
        <f t="shared" si="20"/>
        <v>38336714</v>
      </c>
      <c r="K75" s="732">
        <f t="shared" si="20"/>
        <v>38456219</v>
      </c>
      <c r="L75" s="733">
        <f t="shared" si="20"/>
        <v>-8698636</v>
      </c>
      <c r="M75" s="733">
        <f t="shared" si="20"/>
        <v>29757583</v>
      </c>
      <c r="N75" s="733">
        <f t="shared" si="20"/>
        <v>-3719699</v>
      </c>
      <c r="O75" s="734">
        <f t="shared" si="20"/>
        <v>533470</v>
      </c>
      <c r="P75" s="732">
        <f t="shared" si="20"/>
        <v>12418334</v>
      </c>
      <c r="Q75" s="585">
        <f aca="true" t="shared" si="21" ref="Q75:V75">SUM(Q6:Q74)</f>
        <v>650290</v>
      </c>
      <c r="R75" s="588">
        <f t="shared" si="21"/>
        <v>65029000</v>
      </c>
      <c r="S75" s="588">
        <f t="shared" si="21"/>
        <v>2600000</v>
      </c>
      <c r="T75" s="588">
        <f t="shared" si="21"/>
        <v>344025004</v>
      </c>
      <c r="U75" s="586">
        <f t="shared" si="21"/>
        <v>162722194</v>
      </c>
      <c r="V75" s="587">
        <f t="shared" si="21"/>
        <v>623465</v>
      </c>
      <c r="W75" s="586">
        <f>ROUND(U75/V75,2)</f>
        <v>261</v>
      </c>
      <c r="X75" s="586">
        <f>SUM(X6:X74)</f>
        <v>162080991.7098672</v>
      </c>
      <c r="Y75" s="586">
        <f>SUM(Y6:Y74)</f>
        <v>46375455</v>
      </c>
      <c r="Z75" s="587">
        <f>SUM(Z6:Z74)</f>
        <v>623465</v>
      </c>
      <c r="AA75" s="586">
        <f>ROUND(Y75/Z75,2)</f>
        <v>74.38</v>
      </c>
      <c r="AB75" s="586">
        <f>SUM(AB6:AB74)</f>
        <v>45992027.48744213</v>
      </c>
      <c r="AC75" s="586">
        <f>SUM(AC6:AC74)</f>
        <v>54017476</v>
      </c>
      <c r="AD75" s="587">
        <f>SUM(AD6:AD74)</f>
        <v>574579</v>
      </c>
      <c r="AE75" s="586">
        <f>ROUND(AC75/AD75,2)</f>
        <v>94.01</v>
      </c>
      <c r="AF75" s="586">
        <f>SUM(AF6:AF74)</f>
        <v>56208253.60947445</v>
      </c>
      <c r="AG75" s="588">
        <f>SUM(AG6:AG74)</f>
        <v>608306276.8067839</v>
      </c>
    </row>
    <row r="76" spans="1:29" s="8" customFormat="1" ht="13.5" thickTop="1">
      <c r="A76" s="44"/>
      <c r="B76" s="45"/>
      <c r="C76" s="143"/>
      <c r="D76" s="408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6" t="s">
        <v>220</v>
      </c>
      <c r="V76" s="506"/>
      <c r="W76" s="175"/>
      <c r="X76" s="175"/>
      <c r="Y76" s="175"/>
      <c r="Z76" s="506"/>
      <c r="AA76" s="175"/>
      <c r="AB76" s="175"/>
      <c r="AC76" s="6" t="s">
        <v>220</v>
      </c>
    </row>
    <row r="77" spans="1:26" ht="36" customHeight="1" hidden="1">
      <c r="A77" s="676"/>
      <c r="B77" s="698"/>
      <c r="E77" s="83"/>
      <c r="F77" s="358"/>
      <c r="G77" s="691"/>
      <c r="H77" s="83"/>
      <c r="I77" s="83"/>
      <c r="J77" s="83"/>
      <c r="K77" s="168"/>
      <c r="L77" s="254"/>
      <c r="M77" s="176"/>
      <c r="N77" s="176"/>
      <c r="O77" s="176"/>
      <c r="P77" s="176"/>
      <c r="Q77" s="83"/>
      <c r="R77" s="83"/>
      <c r="S77" s="83"/>
      <c r="T77" s="83"/>
      <c r="V77" s="506"/>
      <c r="Y77" s="6"/>
      <c r="Z77" s="506"/>
    </row>
    <row r="78" spans="1:33" ht="13.5" customHeight="1" hidden="1">
      <c r="A78" s="676"/>
      <c r="B78" s="698"/>
      <c r="D78" s="6"/>
      <c r="E78" s="357"/>
      <c r="F78" s="358"/>
      <c r="G78" s="168"/>
      <c r="H78" s="168"/>
      <c r="I78" s="83"/>
      <c r="J78" s="83"/>
      <c r="K78" s="464"/>
      <c r="L78" s="176"/>
      <c r="M78" s="473"/>
      <c r="N78" s="617"/>
      <c r="O78" s="475"/>
      <c r="P78" s="474"/>
      <c r="Q78" s="168"/>
      <c r="R78" s="168"/>
      <c r="S78" s="168"/>
      <c r="T78" s="168">
        <f>SUM(T6:T74)</f>
        <v>344025004</v>
      </c>
      <c r="U78" s="6"/>
      <c r="V78" s="6"/>
      <c r="W78" s="6"/>
      <c r="X78" s="6"/>
      <c r="Y78" s="6"/>
      <c r="Z78" s="6"/>
      <c r="AA78" s="6"/>
      <c r="AB78" s="6"/>
      <c r="AD78" s="1350"/>
      <c r="AE78" s="1350"/>
      <c r="AF78" s="1350"/>
      <c r="AG78" s="1350"/>
    </row>
    <row r="79" spans="1:33" ht="12.75" customHeight="1" hidden="1">
      <c r="A79" s="676"/>
      <c r="B79" s="699"/>
      <c r="F79" s="358"/>
      <c r="G79" s="358"/>
      <c r="K79" s="24"/>
      <c r="M79" s="83"/>
      <c r="N79" s="464"/>
      <c r="O79" s="83"/>
      <c r="P79" s="83"/>
      <c r="U79" s="6"/>
      <c r="Y79" s="6"/>
      <c r="AD79" s="1350"/>
      <c r="AE79" s="1350"/>
      <c r="AF79" s="1350"/>
      <c r="AG79" s="1350"/>
    </row>
    <row r="80" spans="1:25" ht="12.75" hidden="1">
      <c r="A80" s="676"/>
      <c r="B80" s="698"/>
      <c r="F80" s="358"/>
      <c r="M80" s="83"/>
      <c r="N80" s="618"/>
      <c r="O80" s="83"/>
      <c r="P80" s="83"/>
      <c r="U80" s="6"/>
      <c r="Y80" s="6"/>
    </row>
    <row r="81" spans="1:25" ht="12.75" hidden="1">
      <c r="A81" s="676"/>
      <c r="B81" s="698"/>
      <c r="M81" s="83"/>
      <c r="N81" s="83"/>
      <c r="O81" s="83"/>
      <c r="P81" s="83"/>
      <c r="U81" s="6"/>
      <c r="Y81" s="6"/>
    </row>
    <row r="82" spans="1:25" ht="12.75" hidden="1">
      <c r="A82" s="591"/>
      <c r="B82" s="616"/>
      <c r="M82" s="83"/>
      <c r="N82" s="83"/>
      <c r="O82" s="83"/>
      <c r="P82" s="83"/>
      <c r="U82" s="6"/>
      <c r="Y82" s="6"/>
    </row>
    <row r="83" spans="1:25" ht="12.75" hidden="1">
      <c r="A83" s="591"/>
      <c r="B83" s="616"/>
      <c r="M83" s="446"/>
      <c r="N83" s="446"/>
      <c r="O83" s="446"/>
      <c r="P83" s="446"/>
      <c r="U83" s="6"/>
      <c r="Y83" s="6"/>
    </row>
    <row r="84" spans="1:21" ht="12.75">
      <c r="A84" s="83"/>
      <c r="B84" s="83"/>
      <c r="U84" s="615"/>
    </row>
    <row r="85" ht="12.75">
      <c r="U85" s="615"/>
    </row>
    <row r="86" ht="12.75">
      <c r="U86" s="615"/>
    </row>
    <row r="87" ht="12.75">
      <c r="U87" s="615"/>
    </row>
    <row r="88" ht="12.75">
      <c r="U88" s="615"/>
    </row>
    <row r="89" ht="12.75">
      <c r="U89" s="615"/>
    </row>
    <row r="90" ht="12.75">
      <c r="U90" s="615"/>
    </row>
    <row r="91" ht="12.75">
      <c r="U91" s="615"/>
    </row>
    <row r="92" ht="12.75">
      <c r="U92" s="615"/>
    </row>
    <row r="93" ht="12.75">
      <c r="U93" s="615"/>
    </row>
    <row r="94" ht="12.75">
      <c r="U94" s="615"/>
    </row>
    <row r="95" ht="12.75">
      <c r="U95" s="615"/>
    </row>
    <row r="96" ht="12.75">
      <c r="U96" s="615"/>
    </row>
  </sheetData>
  <sheetProtection/>
  <mergeCells count="36">
    <mergeCell ref="E2:F2"/>
    <mergeCell ref="E3:E4"/>
    <mergeCell ref="K3:K4"/>
    <mergeCell ref="L3:L4"/>
    <mergeCell ref="J3:J4"/>
    <mergeCell ref="G2:H2"/>
    <mergeCell ref="I3:I4"/>
    <mergeCell ref="AC2:AF2"/>
    <mergeCell ref="AC3:AC4"/>
    <mergeCell ref="AD3:AD4"/>
    <mergeCell ref="AE3:AE4"/>
    <mergeCell ref="AF3:AF4"/>
    <mergeCell ref="A2:A4"/>
    <mergeCell ref="B2:B4"/>
    <mergeCell ref="C3:C4"/>
    <mergeCell ref="D3:D4"/>
    <mergeCell ref="C2:D2"/>
    <mergeCell ref="N3:N4"/>
    <mergeCell ref="U3:U4"/>
    <mergeCell ref="O3:O4"/>
    <mergeCell ref="T2:T4"/>
    <mergeCell ref="I2:P2"/>
    <mergeCell ref="Q3:Q4"/>
    <mergeCell ref="Q2:R2"/>
    <mergeCell ref="M3:M4"/>
    <mergeCell ref="S3:S4"/>
    <mergeCell ref="AD78:AG79"/>
    <mergeCell ref="Z3:Z4"/>
    <mergeCell ref="AA3:AA4"/>
    <mergeCell ref="U2:AB2"/>
    <mergeCell ref="AB3:AB4"/>
    <mergeCell ref="Y3:Y4"/>
    <mergeCell ref="V3:V4"/>
    <mergeCell ref="W3:W4"/>
    <mergeCell ref="X3:X4"/>
    <mergeCell ref="AG2:AG4"/>
  </mergeCells>
  <printOptions horizontalCentered="1"/>
  <pageMargins left="0.25" right="0.24" top="1.08" bottom="0.27" header="0.32" footer="0.35"/>
  <pageSetup firstPageNumber="14" useFirstPageNumber="1" horizontalDpi="600" verticalDpi="600" orientation="portrait" paperSize="5" scale="80" r:id="rId1"/>
  <headerFooter alignWithMargins="0">
    <oddHeader>&amp;L&amp;"Arial,Bold"&amp;18Table 4:  FY2009-2010 Budget Letter &amp;20
Level 3 Unequalized Funding</oddHeader>
    <oddFooter>&amp;R&amp;12&amp;P</oddFooter>
  </headerFooter>
  <colBreaks count="4" manualBreakCount="4">
    <brk id="8" min="1" max="75" man="1"/>
    <brk id="16" min="1" max="75" man="1"/>
    <brk id="20" min="1" max="75" man="1"/>
    <brk id="28" min="1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75" zoomScaleNormal="80" zoomScaleSheetLayoutView="75" zoomScalePageLayoutView="0" workbookViewId="0" topLeftCell="A1">
      <pane xSplit="2" ySplit="3" topLeftCell="C4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H1" sqref="H1:H16384"/>
    </sheetView>
  </sheetViews>
  <sheetFormatPr defaultColWidth="9.140625" defaultRowHeight="12.75"/>
  <cols>
    <col min="1" max="1" width="4.28125" style="2" customWidth="1"/>
    <col min="2" max="2" width="23.00390625" style="2" customWidth="1"/>
    <col min="3" max="3" width="12.7109375" style="2" customWidth="1"/>
    <col min="4" max="4" width="13.7109375" style="2" customWidth="1"/>
    <col min="5" max="5" width="15.421875" style="0" customWidth="1"/>
    <col min="6" max="6" width="13.8515625" style="0" customWidth="1"/>
    <col min="7" max="7" width="15.7109375" style="0" customWidth="1"/>
    <col min="8" max="8" width="11.00390625" style="0" hidden="1" customWidth="1"/>
  </cols>
  <sheetData>
    <row r="1" spans="1:7" ht="88.5" customHeight="1">
      <c r="A1" s="693" t="s">
        <v>408</v>
      </c>
      <c r="B1" s="692" t="s">
        <v>630</v>
      </c>
      <c r="C1" s="1371" t="s">
        <v>29</v>
      </c>
      <c r="D1" s="441" t="s">
        <v>496</v>
      </c>
      <c r="E1" s="1369" t="s">
        <v>30</v>
      </c>
      <c r="F1" s="696" t="s">
        <v>497</v>
      </c>
      <c r="G1" s="1355" t="s">
        <v>294</v>
      </c>
    </row>
    <row r="2" spans="1:7" ht="12.75">
      <c r="A2" s="694"/>
      <c r="B2" s="694"/>
      <c r="C2" s="1372"/>
      <c r="D2" s="695">
        <v>6000</v>
      </c>
      <c r="E2" s="1370"/>
      <c r="F2" s="697">
        <v>4000</v>
      </c>
      <c r="G2" s="1356"/>
    </row>
    <row r="3" spans="1:7" ht="12.75">
      <c r="A3" s="295"/>
      <c r="B3" s="403"/>
      <c r="C3" s="412">
        <f>B3+1</f>
        <v>1</v>
      </c>
      <c r="D3" s="412">
        <f>C3+1</f>
        <v>2</v>
      </c>
      <c r="E3" s="412">
        <f>D3+1</f>
        <v>3</v>
      </c>
      <c r="F3" s="412">
        <f>E3+1</f>
        <v>4</v>
      </c>
      <c r="G3" s="412">
        <f>F3+1</f>
        <v>5</v>
      </c>
    </row>
    <row r="4" spans="1:7" ht="12.75">
      <c r="A4" s="124">
        <v>1</v>
      </c>
      <c r="B4" s="404" t="s">
        <v>302</v>
      </c>
      <c r="C4" s="417">
        <v>0</v>
      </c>
      <c r="D4" s="416">
        <f>ROUND($D$2*C4,0)</f>
        <v>0</v>
      </c>
      <c r="E4" s="417">
        <v>0</v>
      </c>
      <c r="F4" s="416">
        <f>ROUND($F$2*E4,0)</f>
        <v>0</v>
      </c>
      <c r="G4" s="700">
        <f>D4+F4</f>
        <v>0</v>
      </c>
    </row>
    <row r="5" spans="1:7" ht="12.75">
      <c r="A5" s="124">
        <v>2</v>
      </c>
      <c r="B5" s="404" t="s">
        <v>303</v>
      </c>
      <c r="C5" s="417">
        <v>0</v>
      </c>
      <c r="D5" s="416">
        <f aca="true" t="shared" si="0" ref="D5:D68">ROUND($D$2*C5,0)</f>
        <v>0</v>
      </c>
      <c r="E5" s="417">
        <v>0</v>
      </c>
      <c r="F5" s="416">
        <f aca="true" t="shared" si="1" ref="F5:F68">ROUND($F$2*E5,0)</f>
        <v>0</v>
      </c>
      <c r="G5" s="700">
        <f aca="true" t="shared" si="2" ref="G5:G68">D5+F5</f>
        <v>0</v>
      </c>
    </row>
    <row r="6" spans="1:7" ht="12.75">
      <c r="A6" s="124">
        <v>3</v>
      </c>
      <c r="B6" s="404" t="s">
        <v>304</v>
      </c>
      <c r="C6" s="417">
        <v>0</v>
      </c>
      <c r="D6" s="416">
        <f t="shared" si="0"/>
        <v>0</v>
      </c>
      <c r="E6" s="417">
        <v>0</v>
      </c>
      <c r="F6" s="416">
        <f t="shared" si="1"/>
        <v>0</v>
      </c>
      <c r="G6" s="700">
        <f t="shared" si="2"/>
        <v>0</v>
      </c>
    </row>
    <row r="7" spans="1:7" ht="12.75">
      <c r="A7" s="124">
        <v>4</v>
      </c>
      <c r="B7" s="404" t="s">
        <v>305</v>
      </c>
      <c r="C7" s="417">
        <v>3</v>
      </c>
      <c r="D7" s="416">
        <f t="shared" si="0"/>
        <v>18000</v>
      </c>
      <c r="E7" s="417">
        <v>1</v>
      </c>
      <c r="F7" s="416">
        <f t="shared" si="1"/>
        <v>4000</v>
      </c>
      <c r="G7" s="700">
        <f t="shared" si="2"/>
        <v>22000</v>
      </c>
    </row>
    <row r="8" spans="1:7" ht="12.75">
      <c r="A8" s="125">
        <v>5</v>
      </c>
      <c r="B8" s="405" t="s">
        <v>306</v>
      </c>
      <c r="C8" s="425">
        <v>0</v>
      </c>
      <c r="D8" s="424">
        <f t="shared" si="0"/>
        <v>0</v>
      </c>
      <c r="E8" s="425">
        <v>0</v>
      </c>
      <c r="F8" s="424">
        <f t="shared" si="1"/>
        <v>0</v>
      </c>
      <c r="G8" s="701">
        <f t="shared" si="2"/>
        <v>0</v>
      </c>
    </row>
    <row r="9" spans="1:7" ht="12.75">
      <c r="A9" s="124">
        <v>6</v>
      </c>
      <c r="B9" s="404" t="s">
        <v>307</v>
      </c>
      <c r="C9" s="417">
        <v>0</v>
      </c>
      <c r="D9" s="416">
        <f t="shared" si="0"/>
        <v>0</v>
      </c>
      <c r="E9" s="417">
        <v>0</v>
      </c>
      <c r="F9" s="416">
        <f t="shared" si="1"/>
        <v>0</v>
      </c>
      <c r="G9" s="700">
        <f t="shared" si="2"/>
        <v>0</v>
      </c>
    </row>
    <row r="10" spans="1:7" ht="12.75">
      <c r="A10" s="124">
        <v>7</v>
      </c>
      <c r="B10" s="404" t="s">
        <v>308</v>
      </c>
      <c r="C10" s="417">
        <v>0</v>
      </c>
      <c r="D10" s="416">
        <f t="shared" si="0"/>
        <v>0</v>
      </c>
      <c r="E10" s="417">
        <v>0</v>
      </c>
      <c r="F10" s="416">
        <f t="shared" si="1"/>
        <v>0</v>
      </c>
      <c r="G10" s="700">
        <f t="shared" si="2"/>
        <v>0</v>
      </c>
    </row>
    <row r="11" spans="1:7" ht="12.75">
      <c r="A11" s="124">
        <v>8</v>
      </c>
      <c r="B11" s="404" t="s">
        <v>309</v>
      </c>
      <c r="C11" s="417">
        <v>3</v>
      </c>
      <c r="D11" s="416">
        <f t="shared" si="0"/>
        <v>18000</v>
      </c>
      <c r="E11" s="417">
        <v>2</v>
      </c>
      <c r="F11" s="416">
        <f t="shared" si="1"/>
        <v>8000</v>
      </c>
      <c r="G11" s="700">
        <f t="shared" si="2"/>
        <v>26000</v>
      </c>
    </row>
    <row r="12" spans="1:7" ht="12.75">
      <c r="A12" s="124">
        <v>9</v>
      </c>
      <c r="B12" s="404" t="s">
        <v>310</v>
      </c>
      <c r="C12" s="417">
        <v>6</v>
      </c>
      <c r="D12" s="416">
        <f t="shared" si="0"/>
        <v>36000</v>
      </c>
      <c r="E12" s="417">
        <v>3</v>
      </c>
      <c r="F12" s="416">
        <f t="shared" si="1"/>
        <v>12000</v>
      </c>
      <c r="G12" s="700">
        <f t="shared" si="2"/>
        <v>48000</v>
      </c>
    </row>
    <row r="13" spans="1:7" ht="12.75">
      <c r="A13" s="125">
        <v>10</v>
      </c>
      <c r="B13" s="405" t="s">
        <v>311</v>
      </c>
      <c r="C13" s="425">
        <v>11</v>
      </c>
      <c r="D13" s="424">
        <f t="shared" si="0"/>
        <v>66000</v>
      </c>
      <c r="E13" s="425">
        <v>10</v>
      </c>
      <c r="F13" s="424">
        <f t="shared" si="1"/>
        <v>40000</v>
      </c>
      <c r="G13" s="701">
        <f t="shared" si="2"/>
        <v>106000</v>
      </c>
    </row>
    <row r="14" spans="1:7" ht="12.75">
      <c r="A14" s="124">
        <v>11</v>
      </c>
      <c r="B14" s="404" t="s">
        <v>312</v>
      </c>
      <c r="C14" s="417">
        <v>0</v>
      </c>
      <c r="D14" s="416">
        <f t="shared" si="0"/>
        <v>0</v>
      </c>
      <c r="E14" s="417">
        <v>0</v>
      </c>
      <c r="F14" s="416">
        <f t="shared" si="1"/>
        <v>0</v>
      </c>
      <c r="G14" s="700">
        <f t="shared" si="2"/>
        <v>0</v>
      </c>
    </row>
    <row r="15" spans="1:7" ht="12.75">
      <c r="A15" s="124">
        <v>12</v>
      </c>
      <c r="B15" s="404" t="s">
        <v>313</v>
      </c>
      <c r="C15" s="417">
        <v>1</v>
      </c>
      <c r="D15" s="416">
        <f t="shared" si="0"/>
        <v>6000</v>
      </c>
      <c r="E15" s="417">
        <v>0</v>
      </c>
      <c r="F15" s="416">
        <f t="shared" si="1"/>
        <v>0</v>
      </c>
      <c r="G15" s="700">
        <f t="shared" si="2"/>
        <v>6000</v>
      </c>
    </row>
    <row r="16" spans="1:7" ht="12.75">
      <c r="A16" s="124">
        <v>13</v>
      </c>
      <c r="B16" s="404" t="s">
        <v>314</v>
      </c>
      <c r="C16" s="417">
        <v>0</v>
      </c>
      <c r="D16" s="416">
        <f t="shared" si="0"/>
        <v>0</v>
      </c>
      <c r="E16" s="417">
        <v>0</v>
      </c>
      <c r="F16" s="416">
        <f t="shared" si="1"/>
        <v>0</v>
      </c>
      <c r="G16" s="700">
        <f t="shared" si="2"/>
        <v>0</v>
      </c>
    </row>
    <row r="17" spans="1:7" ht="12.75">
      <c r="A17" s="124">
        <v>14</v>
      </c>
      <c r="B17" s="404" t="s">
        <v>315</v>
      </c>
      <c r="C17" s="417">
        <v>0</v>
      </c>
      <c r="D17" s="416">
        <f t="shared" si="0"/>
        <v>0</v>
      </c>
      <c r="E17" s="417">
        <v>0</v>
      </c>
      <c r="F17" s="416">
        <f t="shared" si="1"/>
        <v>0</v>
      </c>
      <c r="G17" s="700">
        <f t="shared" si="2"/>
        <v>0</v>
      </c>
    </row>
    <row r="18" spans="1:7" ht="12.75">
      <c r="A18" s="125">
        <v>15</v>
      </c>
      <c r="B18" s="405" t="s">
        <v>316</v>
      </c>
      <c r="C18" s="425">
        <v>0</v>
      </c>
      <c r="D18" s="424">
        <f t="shared" si="0"/>
        <v>0</v>
      </c>
      <c r="E18" s="425">
        <v>1</v>
      </c>
      <c r="F18" s="424">
        <f t="shared" si="1"/>
        <v>4000</v>
      </c>
      <c r="G18" s="701">
        <f t="shared" si="2"/>
        <v>4000</v>
      </c>
    </row>
    <row r="19" spans="1:7" ht="12.75">
      <c r="A19" s="124">
        <v>16</v>
      </c>
      <c r="B19" s="404" t="s">
        <v>317</v>
      </c>
      <c r="C19" s="417">
        <v>0</v>
      </c>
      <c r="D19" s="416">
        <f t="shared" si="0"/>
        <v>0</v>
      </c>
      <c r="E19" s="417">
        <v>2</v>
      </c>
      <c r="F19" s="416">
        <f t="shared" si="1"/>
        <v>8000</v>
      </c>
      <c r="G19" s="700">
        <f t="shared" si="2"/>
        <v>8000</v>
      </c>
    </row>
    <row r="20" spans="1:7" ht="12.75">
      <c r="A20" s="124">
        <v>17</v>
      </c>
      <c r="B20" s="404" t="s">
        <v>318</v>
      </c>
      <c r="C20" s="417">
        <v>6</v>
      </c>
      <c r="D20" s="416">
        <f t="shared" si="0"/>
        <v>36000</v>
      </c>
      <c r="E20" s="417">
        <v>6</v>
      </c>
      <c r="F20" s="416">
        <f t="shared" si="1"/>
        <v>24000</v>
      </c>
      <c r="G20" s="700">
        <f t="shared" si="2"/>
        <v>60000</v>
      </c>
    </row>
    <row r="21" spans="1:7" ht="12.75">
      <c r="A21" s="124">
        <v>18</v>
      </c>
      <c r="B21" s="404" t="s">
        <v>319</v>
      </c>
      <c r="C21" s="417">
        <v>1</v>
      </c>
      <c r="D21" s="416">
        <f t="shared" si="0"/>
        <v>6000</v>
      </c>
      <c r="E21" s="417">
        <v>1</v>
      </c>
      <c r="F21" s="416">
        <f t="shared" si="1"/>
        <v>4000</v>
      </c>
      <c r="G21" s="700">
        <f t="shared" si="2"/>
        <v>10000</v>
      </c>
    </row>
    <row r="22" spans="1:7" ht="12.75">
      <c r="A22" s="124">
        <v>19</v>
      </c>
      <c r="B22" s="404" t="s">
        <v>320</v>
      </c>
      <c r="C22" s="417">
        <v>0</v>
      </c>
      <c r="D22" s="416">
        <f t="shared" si="0"/>
        <v>0</v>
      </c>
      <c r="E22" s="417">
        <v>0</v>
      </c>
      <c r="F22" s="416">
        <f t="shared" si="1"/>
        <v>0</v>
      </c>
      <c r="G22" s="700">
        <f t="shared" si="2"/>
        <v>0</v>
      </c>
    </row>
    <row r="23" spans="1:7" ht="12.75">
      <c r="A23" s="125">
        <v>20</v>
      </c>
      <c r="B23" s="405" t="s">
        <v>321</v>
      </c>
      <c r="C23" s="425">
        <v>0</v>
      </c>
      <c r="D23" s="424">
        <f t="shared" si="0"/>
        <v>0</v>
      </c>
      <c r="E23" s="425">
        <v>0</v>
      </c>
      <c r="F23" s="424">
        <f t="shared" si="1"/>
        <v>0</v>
      </c>
      <c r="G23" s="701">
        <f t="shared" si="2"/>
        <v>0</v>
      </c>
    </row>
    <row r="24" spans="1:7" ht="12.75">
      <c r="A24" s="124">
        <v>21</v>
      </c>
      <c r="B24" s="404" t="s">
        <v>322</v>
      </c>
      <c r="C24" s="417">
        <v>0</v>
      </c>
      <c r="D24" s="416">
        <f t="shared" si="0"/>
        <v>0</v>
      </c>
      <c r="E24" s="417">
        <v>0</v>
      </c>
      <c r="F24" s="416">
        <f t="shared" si="1"/>
        <v>0</v>
      </c>
      <c r="G24" s="700">
        <f t="shared" si="2"/>
        <v>0</v>
      </c>
    </row>
    <row r="25" spans="1:7" ht="12.75">
      <c r="A25" s="124">
        <v>22</v>
      </c>
      <c r="B25" s="404" t="s">
        <v>323</v>
      </c>
      <c r="C25" s="417">
        <v>0</v>
      </c>
      <c r="D25" s="416">
        <f t="shared" si="0"/>
        <v>0</v>
      </c>
      <c r="E25" s="417">
        <v>0</v>
      </c>
      <c r="F25" s="416">
        <f t="shared" si="1"/>
        <v>0</v>
      </c>
      <c r="G25" s="700">
        <f t="shared" si="2"/>
        <v>0</v>
      </c>
    </row>
    <row r="26" spans="1:7" ht="12.75">
      <c r="A26" s="124">
        <v>23</v>
      </c>
      <c r="B26" s="404" t="s">
        <v>324</v>
      </c>
      <c r="C26" s="417">
        <v>2</v>
      </c>
      <c r="D26" s="416">
        <f t="shared" si="0"/>
        <v>12000</v>
      </c>
      <c r="E26" s="417">
        <v>5</v>
      </c>
      <c r="F26" s="416">
        <f t="shared" si="1"/>
        <v>20000</v>
      </c>
      <c r="G26" s="700">
        <f t="shared" si="2"/>
        <v>32000</v>
      </c>
    </row>
    <row r="27" spans="1:7" ht="12.75">
      <c r="A27" s="124">
        <v>24</v>
      </c>
      <c r="B27" s="404" t="s">
        <v>325</v>
      </c>
      <c r="C27" s="417">
        <v>0</v>
      </c>
      <c r="D27" s="416">
        <f t="shared" si="0"/>
        <v>0</v>
      </c>
      <c r="E27" s="417">
        <v>0</v>
      </c>
      <c r="F27" s="416">
        <f t="shared" si="1"/>
        <v>0</v>
      </c>
      <c r="G27" s="700">
        <f t="shared" si="2"/>
        <v>0</v>
      </c>
    </row>
    <row r="28" spans="1:7" ht="12.75">
      <c r="A28" s="125">
        <v>25</v>
      </c>
      <c r="B28" s="405" t="s">
        <v>326</v>
      </c>
      <c r="C28" s="425">
        <v>0</v>
      </c>
      <c r="D28" s="424">
        <f t="shared" si="0"/>
        <v>0</v>
      </c>
      <c r="E28" s="425">
        <v>0</v>
      </c>
      <c r="F28" s="424">
        <f t="shared" si="1"/>
        <v>0</v>
      </c>
      <c r="G28" s="701">
        <f t="shared" si="2"/>
        <v>0</v>
      </c>
    </row>
    <row r="29" spans="1:7" ht="12.75">
      <c r="A29" s="124">
        <v>26</v>
      </c>
      <c r="B29" s="404" t="s">
        <v>327</v>
      </c>
      <c r="C29" s="417">
        <v>7</v>
      </c>
      <c r="D29" s="416">
        <f t="shared" si="0"/>
        <v>42000</v>
      </c>
      <c r="E29" s="417">
        <v>12</v>
      </c>
      <c r="F29" s="416">
        <f t="shared" si="1"/>
        <v>48000</v>
      </c>
      <c r="G29" s="700">
        <f t="shared" si="2"/>
        <v>90000</v>
      </c>
    </row>
    <row r="30" spans="1:7" ht="12.75">
      <c r="A30" s="124">
        <v>27</v>
      </c>
      <c r="B30" s="404" t="s">
        <v>328</v>
      </c>
      <c r="C30" s="417">
        <v>0</v>
      </c>
      <c r="D30" s="416">
        <f t="shared" si="0"/>
        <v>0</v>
      </c>
      <c r="E30" s="417">
        <v>0</v>
      </c>
      <c r="F30" s="416">
        <f t="shared" si="1"/>
        <v>0</v>
      </c>
      <c r="G30" s="700">
        <f t="shared" si="2"/>
        <v>0</v>
      </c>
    </row>
    <row r="31" spans="1:7" ht="12.75">
      <c r="A31" s="124">
        <v>28</v>
      </c>
      <c r="B31" s="404" t="s">
        <v>329</v>
      </c>
      <c r="C31" s="417">
        <v>14</v>
      </c>
      <c r="D31" s="416">
        <f t="shared" si="0"/>
        <v>84000</v>
      </c>
      <c r="E31" s="417">
        <v>15</v>
      </c>
      <c r="F31" s="416">
        <f t="shared" si="1"/>
        <v>60000</v>
      </c>
      <c r="G31" s="700">
        <f t="shared" si="2"/>
        <v>144000</v>
      </c>
    </row>
    <row r="32" spans="1:7" ht="12.75">
      <c r="A32" s="124">
        <v>29</v>
      </c>
      <c r="B32" s="404" t="s">
        <v>330</v>
      </c>
      <c r="C32" s="417">
        <v>3</v>
      </c>
      <c r="D32" s="416">
        <f t="shared" si="0"/>
        <v>18000</v>
      </c>
      <c r="E32" s="417">
        <v>20</v>
      </c>
      <c r="F32" s="416">
        <f t="shared" si="1"/>
        <v>80000</v>
      </c>
      <c r="G32" s="700">
        <f t="shared" si="2"/>
        <v>98000</v>
      </c>
    </row>
    <row r="33" spans="1:7" ht="12.75">
      <c r="A33" s="125">
        <v>30</v>
      </c>
      <c r="B33" s="405" t="s">
        <v>331</v>
      </c>
      <c r="C33" s="425">
        <v>0</v>
      </c>
      <c r="D33" s="424">
        <f t="shared" si="0"/>
        <v>0</v>
      </c>
      <c r="E33" s="425">
        <v>0</v>
      </c>
      <c r="F33" s="424">
        <f t="shared" si="1"/>
        <v>0</v>
      </c>
      <c r="G33" s="701">
        <f t="shared" si="2"/>
        <v>0</v>
      </c>
    </row>
    <row r="34" spans="1:7" ht="12.75">
      <c r="A34" s="124">
        <v>31</v>
      </c>
      <c r="B34" s="404" t="s">
        <v>332</v>
      </c>
      <c r="C34" s="417">
        <v>0</v>
      </c>
      <c r="D34" s="416">
        <f t="shared" si="0"/>
        <v>0</v>
      </c>
      <c r="E34" s="417">
        <v>0</v>
      </c>
      <c r="F34" s="416">
        <f t="shared" si="1"/>
        <v>0</v>
      </c>
      <c r="G34" s="700">
        <f t="shared" si="2"/>
        <v>0</v>
      </c>
    </row>
    <row r="35" spans="1:7" ht="12.75">
      <c r="A35" s="124">
        <v>32</v>
      </c>
      <c r="B35" s="404" t="s">
        <v>333</v>
      </c>
      <c r="C35" s="417">
        <v>0</v>
      </c>
      <c r="D35" s="416">
        <f t="shared" si="0"/>
        <v>0</v>
      </c>
      <c r="E35" s="417">
        <v>0</v>
      </c>
      <c r="F35" s="416">
        <f t="shared" si="1"/>
        <v>0</v>
      </c>
      <c r="G35" s="700">
        <f t="shared" si="2"/>
        <v>0</v>
      </c>
    </row>
    <row r="36" spans="1:7" ht="12.75">
      <c r="A36" s="124">
        <v>33</v>
      </c>
      <c r="B36" s="404" t="s">
        <v>334</v>
      </c>
      <c r="C36" s="417">
        <v>0</v>
      </c>
      <c r="D36" s="416">
        <f t="shared" si="0"/>
        <v>0</v>
      </c>
      <c r="E36" s="417">
        <v>1</v>
      </c>
      <c r="F36" s="416">
        <f t="shared" si="1"/>
        <v>4000</v>
      </c>
      <c r="G36" s="700">
        <f t="shared" si="2"/>
        <v>4000</v>
      </c>
    </row>
    <row r="37" spans="1:7" ht="12.75">
      <c r="A37" s="124">
        <v>34</v>
      </c>
      <c r="B37" s="404" t="s">
        <v>335</v>
      </c>
      <c r="C37" s="417">
        <v>0</v>
      </c>
      <c r="D37" s="416">
        <f t="shared" si="0"/>
        <v>0</v>
      </c>
      <c r="E37" s="417">
        <v>0</v>
      </c>
      <c r="F37" s="416">
        <f t="shared" si="1"/>
        <v>0</v>
      </c>
      <c r="G37" s="700">
        <f t="shared" si="2"/>
        <v>0</v>
      </c>
    </row>
    <row r="38" spans="1:7" ht="12.75">
      <c r="A38" s="125">
        <v>35</v>
      </c>
      <c r="B38" s="405" t="s">
        <v>336</v>
      </c>
      <c r="C38" s="425">
        <v>0</v>
      </c>
      <c r="D38" s="424">
        <f t="shared" si="0"/>
        <v>0</v>
      </c>
      <c r="E38" s="425">
        <v>0</v>
      </c>
      <c r="F38" s="424">
        <f t="shared" si="1"/>
        <v>0</v>
      </c>
      <c r="G38" s="701">
        <f t="shared" si="2"/>
        <v>0</v>
      </c>
    </row>
    <row r="39" spans="1:7" ht="12.75">
      <c r="A39" s="124">
        <v>36</v>
      </c>
      <c r="B39" s="404" t="s">
        <v>337</v>
      </c>
      <c r="C39" s="417">
        <v>7</v>
      </c>
      <c r="D39" s="416">
        <f t="shared" si="0"/>
        <v>42000</v>
      </c>
      <c r="E39" s="417">
        <v>12</v>
      </c>
      <c r="F39" s="416">
        <f t="shared" si="1"/>
        <v>48000</v>
      </c>
      <c r="G39" s="700">
        <f t="shared" si="2"/>
        <v>90000</v>
      </c>
    </row>
    <row r="40" spans="1:7" ht="12.75">
      <c r="A40" s="124">
        <v>37</v>
      </c>
      <c r="B40" s="404" t="s">
        <v>338</v>
      </c>
      <c r="C40" s="417">
        <v>0</v>
      </c>
      <c r="D40" s="416">
        <f t="shared" si="0"/>
        <v>0</v>
      </c>
      <c r="E40" s="417">
        <v>0</v>
      </c>
      <c r="F40" s="416">
        <f t="shared" si="1"/>
        <v>0</v>
      </c>
      <c r="G40" s="700">
        <f t="shared" si="2"/>
        <v>0</v>
      </c>
    </row>
    <row r="41" spans="1:7" ht="12.75">
      <c r="A41" s="124">
        <v>38</v>
      </c>
      <c r="B41" s="404" t="s">
        <v>339</v>
      </c>
      <c r="C41" s="417">
        <v>0</v>
      </c>
      <c r="D41" s="416">
        <f t="shared" si="0"/>
        <v>0</v>
      </c>
      <c r="E41" s="417">
        <v>1</v>
      </c>
      <c r="F41" s="416">
        <f t="shared" si="1"/>
        <v>4000</v>
      </c>
      <c r="G41" s="700">
        <f t="shared" si="2"/>
        <v>4000</v>
      </c>
    </row>
    <row r="42" spans="1:7" ht="12.75">
      <c r="A42" s="124">
        <v>39</v>
      </c>
      <c r="B42" s="404" t="s">
        <v>340</v>
      </c>
      <c r="C42" s="417">
        <v>0</v>
      </c>
      <c r="D42" s="416">
        <f t="shared" si="0"/>
        <v>0</v>
      </c>
      <c r="E42" s="417">
        <v>0</v>
      </c>
      <c r="F42" s="416">
        <f t="shared" si="1"/>
        <v>0</v>
      </c>
      <c r="G42" s="700">
        <f t="shared" si="2"/>
        <v>0</v>
      </c>
    </row>
    <row r="43" spans="1:7" ht="12.75">
      <c r="A43" s="125">
        <v>40</v>
      </c>
      <c r="B43" s="405" t="s">
        <v>341</v>
      </c>
      <c r="C43" s="425">
        <v>0</v>
      </c>
      <c r="D43" s="424">
        <f t="shared" si="0"/>
        <v>0</v>
      </c>
      <c r="E43" s="425">
        <v>0</v>
      </c>
      <c r="F43" s="424">
        <f t="shared" si="1"/>
        <v>0</v>
      </c>
      <c r="G43" s="701">
        <f t="shared" si="2"/>
        <v>0</v>
      </c>
    </row>
    <row r="44" spans="1:7" ht="12.75">
      <c r="A44" s="124">
        <v>41</v>
      </c>
      <c r="B44" s="404" t="s">
        <v>342</v>
      </c>
      <c r="C44" s="417">
        <v>0</v>
      </c>
      <c r="D44" s="416">
        <f t="shared" si="0"/>
        <v>0</v>
      </c>
      <c r="E44" s="417">
        <v>0</v>
      </c>
      <c r="F44" s="416">
        <f t="shared" si="1"/>
        <v>0</v>
      </c>
      <c r="G44" s="700">
        <f t="shared" si="2"/>
        <v>0</v>
      </c>
    </row>
    <row r="45" spans="1:7" ht="12.75">
      <c r="A45" s="124">
        <v>42</v>
      </c>
      <c r="B45" s="404" t="s">
        <v>343</v>
      </c>
      <c r="C45" s="417">
        <v>0</v>
      </c>
      <c r="D45" s="416">
        <f t="shared" si="0"/>
        <v>0</v>
      </c>
      <c r="E45" s="417">
        <v>6</v>
      </c>
      <c r="F45" s="416">
        <f t="shared" si="1"/>
        <v>24000</v>
      </c>
      <c r="G45" s="700">
        <f t="shared" si="2"/>
        <v>24000</v>
      </c>
    </row>
    <row r="46" spans="1:7" ht="12.75">
      <c r="A46" s="124">
        <v>43</v>
      </c>
      <c r="B46" s="404" t="s">
        <v>344</v>
      </c>
      <c r="C46" s="417">
        <v>0</v>
      </c>
      <c r="D46" s="416">
        <f t="shared" si="0"/>
        <v>0</v>
      </c>
      <c r="E46" s="417">
        <v>0</v>
      </c>
      <c r="F46" s="416">
        <f t="shared" si="1"/>
        <v>0</v>
      </c>
      <c r="G46" s="700">
        <f t="shared" si="2"/>
        <v>0</v>
      </c>
    </row>
    <row r="47" spans="1:7" ht="12.75">
      <c r="A47" s="124">
        <v>44</v>
      </c>
      <c r="B47" s="404" t="s">
        <v>345</v>
      </c>
      <c r="C47" s="417">
        <v>0</v>
      </c>
      <c r="D47" s="416">
        <f t="shared" si="0"/>
        <v>0</v>
      </c>
      <c r="E47" s="417">
        <v>0</v>
      </c>
      <c r="F47" s="416">
        <f t="shared" si="1"/>
        <v>0</v>
      </c>
      <c r="G47" s="700">
        <f t="shared" si="2"/>
        <v>0</v>
      </c>
    </row>
    <row r="48" spans="1:7" ht="12.75">
      <c r="A48" s="125">
        <v>45</v>
      </c>
      <c r="B48" s="405" t="s">
        <v>346</v>
      </c>
      <c r="C48" s="425">
        <v>0</v>
      </c>
      <c r="D48" s="424">
        <f t="shared" si="0"/>
        <v>0</v>
      </c>
      <c r="E48" s="425">
        <v>0</v>
      </c>
      <c r="F48" s="424">
        <f t="shared" si="1"/>
        <v>0</v>
      </c>
      <c r="G48" s="701">
        <f t="shared" si="2"/>
        <v>0</v>
      </c>
    </row>
    <row r="49" spans="1:7" ht="12.75">
      <c r="A49" s="124">
        <v>46</v>
      </c>
      <c r="B49" s="404" t="s">
        <v>347</v>
      </c>
      <c r="C49" s="417">
        <v>0</v>
      </c>
      <c r="D49" s="416">
        <f t="shared" si="0"/>
        <v>0</v>
      </c>
      <c r="E49" s="417">
        <v>0</v>
      </c>
      <c r="F49" s="416">
        <f t="shared" si="1"/>
        <v>0</v>
      </c>
      <c r="G49" s="700">
        <f t="shared" si="2"/>
        <v>0</v>
      </c>
    </row>
    <row r="50" spans="1:7" ht="12.75">
      <c r="A50" s="124">
        <v>47</v>
      </c>
      <c r="B50" s="404" t="s">
        <v>348</v>
      </c>
      <c r="C50" s="417">
        <v>0</v>
      </c>
      <c r="D50" s="416">
        <f t="shared" si="0"/>
        <v>0</v>
      </c>
      <c r="E50" s="417">
        <v>0</v>
      </c>
      <c r="F50" s="416">
        <f t="shared" si="1"/>
        <v>0</v>
      </c>
      <c r="G50" s="700">
        <f t="shared" si="2"/>
        <v>0</v>
      </c>
    </row>
    <row r="51" spans="1:7" ht="12.75">
      <c r="A51" s="124">
        <v>48</v>
      </c>
      <c r="B51" s="404" t="s">
        <v>428</v>
      </c>
      <c r="C51" s="417">
        <v>0</v>
      </c>
      <c r="D51" s="416">
        <f t="shared" si="0"/>
        <v>0</v>
      </c>
      <c r="E51" s="417">
        <v>0</v>
      </c>
      <c r="F51" s="416">
        <f t="shared" si="1"/>
        <v>0</v>
      </c>
      <c r="G51" s="700">
        <f t="shared" si="2"/>
        <v>0</v>
      </c>
    </row>
    <row r="52" spans="1:7" ht="12.75">
      <c r="A52" s="124">
        <v>49</v>
      </c>
      <c r="B52" s="404" t="s">
        <v>349</v>
      </c>
      <c r="C52" s="417">
        <v>0</v>
      </c>
      <c r="D52" s="416">
        <f t="shared" si="0"/>
        <v>0</v>
      </c>
      <c r="E52" s="417">
        <v>0</v>
      </c>
      <c r="F52" s="416">
        <f t="shared" si="1"/>
        <v>0</v>
      </c>
      <c r="G52" s="700">
        <f t="shared" si="2"/>
        <v>0</v>
      </c>
    </row>
    <row r="53" spans="1:7" ht="12.75">
      <c r="A53" s="125">
        <v>50</v>
      </c>
      <c r="B53" s="405" t="s">
        <v>350</v>
      </c>
      <c r="C53" s="425">
        <v>4</v>
      </c>
      <c r="D53" s="424">
        <f t="shared" si="0"/>
        <v>24000</v>
      </c>
      <c r="E53" s="425">
        <v>6</v>
      </c>
      <c r="F53" s="424">
        <f t="shared" si="1"/>
        <v>24000</v>
      </c>
      <c r="G53" s="701">
        <f t="shared" si="2"/>
        <v>48000</v>
      </c>
    </row>
    <row r="54" spans="1:7" ht="12.75">
      <c r="A54" s="124">
        <v>51</v>
      </c>
      <c r="B54" s="404" t="s">
        <v>351</v>
      </c>
      <c r="C54" s="417">
        <v>0</v>
      </c>
      <c r="D54" s="416">
        <f t="shared" si="0"/>
        <v>0</v>
      </c>
      <c r="E54" s="417">
        <v>0</v>
      </c>
      <c r="F54" s="416">
        <f t="shared" si="1"/>
        <v>0</v>
      </c>
      <c r="G54" s="700">
        <f t="shared" si="2"/>
        <v>0</v>
      </c>
    </row>
    <row r="55" spans="1:7" ht="12.75">
      <c r="A55" s="124">
        <v>52</v>
      </c>
      <c r="B55" s="404" t="s">
        <v>352</v>
      </c>
      <c r="C55" s="417">
        <v>0</v>
      </c>
      <c r="D55" s="416">
        <f t="shared" si="0"/>
        <v>0</v>
      </c>
      <c r="E55" s="417">
        <v>0</v>
      </c>
      <c r="F55" s="416">
        <f t="shared" si="1"/>
        <v>0</v>
      </c>
      <c r="G55" s="700">
        <f t="shared" si="2"/>
        <v>0</v>
      </c>
    </row>
    <row r="56" spans="1:7" ht="12.75">
      <c r="A56" s="124">
        <v>53</v>
      </c>
      <c r="B56" s="404" t="s">
        <v>353</v>
      </c>
      <c r="C56" s="417">
        <v>3</v>
      </c>
      <c r="D56" s="416">
        <f t="shared" si="0"/>
        <v>18000</v>
      </c>
      <c r="E56" s="417">
        <v>0</v>
      </c>
      <c r="F56" s="416">
        <f t="shared" si="1"/>
        <v>0</v>
      </c>
      <c r="G56" s="700">
        <f t="shared" si="2"/>
        <v>18000</v>
      </c>
    </row>
    <row r="57" spans="1:7" ht="12.75">
      <c r="A57" s="124">
        <v>54</v>
      </c>
      <c r="B57" s="404" t="s">
        <v>354</v>
      </c>
      <c r="C57" s="417">
        <v>0</v>
      </c>
      <c r="D57" s="416">
        <f t="shared" si="0"/>
        <v>0</v>
      </c>
      <c r="E57" s="417">
        <v>0</v>
      </c>
      <c r="F57" s="416">
        <f t="shared" si="1"/>
        <v>0</v>
      </c>
      <c r="G57" s="700">
        <f t="shared" si="2"/>
        <v>0</v>
      </c>
    </row>
    <row r="58" spans="1:7" ht="12.75">
      <c r="A58" s="125">
        <v>55</v>
      </c>
      <c r="B58" s="405" t="s">
        <v>355</v>
      </c>
      <c r="C58" s="425">
        <v>0</v>
      </c>
      <c r="D58" s="424">
        <f t="shared" si="0"/>
        <v>0</v>
      </c>
      <c r="E58" s="425">
        <v>0</v>
      </c>
      <c r="F58" s="424">
        <f t="shared" si="1"/>
        <v>0</v>
      </c>
      <c r="G58" s="701">
        <f t="shared" si="2"/>
        <v>0</v>
      </c>
    </row>
    <row r="59" spans="1:7" ht="12.75">
      <c r="A59" s="124">
        <v>56</v>
      </c>
      <c r="B59" s="404" t="s">
        <v>356</v>
      </c>
      <c r="C59" s="417">
        <v>0</v>
      </c>
      <c r="D59" s="416">
        <f t="shared" si="0"/>
        <v>0</v>
      </c>
      <c r="E59" s="417">
        <v>1</v>
      </c>
      <c r="F59" s="416">
        <f t="shared" si="1"/>
        <v>4000</v>
      </c>
      <c r="G59" s="700">
        <f t="shared" si="2"/>
        <v>4000</v>
      </c>
    </row>
    <row r="60" spans="1:7" ht="12.75">
      <c r="A60" s="124">
        <v>57</v>
      </c>
      <c r="B60" s="404" t="s">
        <v>357</v>
      </c>
      <c r="C60" s="417">
        <v>0</v>
      </c>
      <c r="D60" s="416">
        <f t="shared" si="0"/>
        <v>0</v>
      </c>
      <c r="E60" s="417">
        <v>0</v>
      </c>
      <c r="F60" s="416">
        <f t="shared" si="1"/>
        <v>0</v>
      </c>
      <c r="G60" s="700">
        <f t="shared" si="2"/>
        <v>0</v>
      </c>
    </row>
    <row r="61" spans="1:7" ht="12.75">
      <c r="A61" s="124">
        <v>58</v>
      </c>
      <c r="B61" s="404" t="s">
        <v>358</v>
      </c>
      <c r="C61" s="417">
        <v>0</v>
      </c>
      <c r="D61" s="416">
        <f t="shared" si="0"/>
        <v>0</v>
      </c>
      <c r="E61" s="417">
        <v>0</v>
      </c>
      <c r="F61" s="416">
        <f t="shared" si="1"/>
        <v>0</v>
      </c>
      <c r="G61" s="700">
        <f t="shared" si="2"/>
        <v>0</v>
      </c>
    </row>
    <row r="62" spans="1:7" ht="12.75">
      <c r="A62" s="124">
        <v>59</v>
      </c>
      <c r="B62" s="404" t="s">
        <v>359</v>
      </c>
      <c r="C62" s="417">
        <v>0</v>
      </c>
      <c r="D62" s="416">
        <f t="shared" si="0"/>
        <v>0</v>
      </c>
      <c r="E62" s="417">
        <v>0</v>
      </c>
      <c r="F62" s="416">
        <f t="shared" si="1"/>
        <v>0</v>
      </c>
      <c r="G62" s="700">
        <f t="shared" si="2"/>
        <v>0</v>
      </c>
    </row>
    <row r="63" spans="1:7" ht="12.75">
      <c r="A63" s="125">
        <v>60</v>
      </c>
      <c r="B63" s="405" t="s">
        <v>360</v>
      </c>
      <c r="C63" s="425">
        <v>0</v>
      </c>
      <c r="D63" s="424">
        <f t="shared" si="0"/>
        <v>0</v>
      </c>
      <c r="E63" s="425">
        <v>0</v>
      </c>
      <c r="F63" s="424">
        <f t="shared" si="1"/>
        <v>0</v>
      </c>
      <c r="G63" s="701">
        <f t="shared" si="2"/>
        <v>0</v>
      </c>
    </row>
    <row r="64" spans="1:7" ht="12.75">
      <c r="A64" s="124">
        <v>61</v>
      </c>
      <c r="B64" s="404" t="s">
        <v>361</v>
      </c>
      <c r="C64" s="417">
        <v>0</v>
      </c>
      <c r="D64" s="416">
        <f t="shared" si="0"/>
        <v>0</v>
      </c>
      <c r="E64" s="417">
        <v>0</v>
      </c>
      <c r="F64" s="416">
        <f t="shared" si="1"/>
        <v>0</v>
      </c>
      <c r="G64" s="700">
        <f t="shared" si="2"/>
        <v>0</v>
      </c>
    </row>
    <row r="65" spans="1:7" ht="12.75">
      <c r="A65" s="124">
        <v>62</v>
      </c>
      <c r="B65" s="404" t="s">
        <v>362</v>
      </c>
      <c r="C65" s="417">
        <v>0</v>
      </c>
      <c r="D65" s="416">
        <f t="shared" si="0"/>
        <v>0</v>
      </c>
      <c r="E65" s="417">
        <v>0</v>
      </c>
      <c r="F65" s="416">
        <f t="shared" si="1"/>
        <v>0</v>
      </c>
      <c r="G65" s="700">
        <f t="shared" si="2"/>
        <v>0</v>
      </c>
    </row>
    <row r="66" spans="1:7" ht="12.75">
      <c r="A66" s="124">
        <v>63</v>
      </c>
      <c r="B66" s="404" t="s">
        <v>363</v>
      </c>
      <c r="C66" s="417">
        <v>0</v>
      </c>
      <c r="D66" s="416">
        <f t="shared" si="0"/>
        <v>0</v>
      </c>
      <c r="E66" s="417">
        <v>0</v>
      </c>
      <c r="F66" s="416">
        <f t="shared" si="1"/>
        <v>0</v>
      </c>
      <c r="G66" s="700">
        <f t="shared" si="2"/>
        <v>0</v>
      </c>
    </row>
    <row r="67" spans="1:7" ht="12.75">
      <c r="A67" s="124">
        <v>64</v>
      </c>
      <c r="B67" s="404" t="s">
        <v>364</v>
      </c>
      <c r="C67" s="417">
        <v>0</v>
      </c>
      <c r="D67" s="416">
        <f t="shared" si="0"/>
        <v>0</v>
      </c>
      <c r="E67" s="417">
        <v>0</v>
      </c>
      <c r="F67" s="416">
        <f t="shared" si="1"/>
        <v>0</v>
      </c>
      <c r="G67" s="700">
        <f t="shared" si="2"/>
        <v>0</v>
      </c>
    </row>
    <row r="68" spans="1:7" ht="12.75">
      <c r="A68" s="125">
        <v>65</v>
      </c>
      <c r="B68" s="405" t="s">
        <v>365</v>
      </c>
      <c r="C68" s="431">
        <v>0</v>
      </c>
      <c r="D68" s="424">
        <f t="shared" si="0"/>
        <v>0</v>
      </c>
      <c r="E68" s="431">
        <v>0</v>
      </c>
      <c r="F68" s="424">
        <f t="shared" si="1"/>
        <v>0</v>
      </c>
      <c r="G68" s="701">
        <f t="shared" si="2"/>
        <v>0</v>
      </c>
    </row>
    <row r="69" spans="1:7" ht="12.75">
      <c r="A69" s="165">
        <v>66</v>
      </c>
      <c r="B69" s="406" t="s">
        <v>366</v>
      </c>
      <c r="C69" s="433">
        <v>0</v>
      </c>
      <c r="D69" s="414">
        <f>ROUND($D$2*C69,0)</f>
        <v>0</v>
      </c>
      <c r="E69" s="433">
        <v>0</v>
      </c>
      <c r="F69" s="414">
        <f>ROUND($F$2*E69,0)</f>
        <v>0</v>
      </c>
      <c r="G69" s="702">
        <f>D69+F69</f>
        <v>0</v>
      </c>
    </row>
    <row r="70" spans="1:7" ht="12.75">
      <c r="A70" s="469">
        <v>67</v>
      </c>
      <c r="B70" s="407" t="s">
        <v>135</v>
      </c>
      <c r="C70" s="417">
        <v>0</v>
      </c>
      <c r="D70" s="416">
        <f>ROUND($D$2*C70,0)</f>
        <v>0</v>
      </c>
      <c r="E70" s="417">
        <v>0</v>
      </c>
      <c r="F70" s="416">
        <f>ROUND($F$2*E70,0)</f>
        <v>0</v>
      </c>
      <c r="G70" s="700">
        <f>D70+F70</f>
        <v>0</v>
      </c>
    </row>
    <row r="71" spans="1:7" ht="12.75">
      <c r="A71" s="124">
        <v>68</v>
      </c>
      <c r="B71" s="404" t="s">
        <v>132</v>
      </c>
      <c r="C71" s="417">
        <v>0</v>
      </c>
      <c r="D71" s="416">
        <f>ROUND($D$2*C71,0)</f>
        <v>0</v>
      </c>
      <c r="E71" s="417">
        <v>0</v>
      </c>
      <c r="F71" s="416">
        <f>ROUND($F$2*E71,0)</f>
        <v>0</v>
      </c>
      <c r="G71" s="700">
        <f>D71+F71</f>
        <v>0</v>
      </c>
    </row>
    <row r="72" spans="1:7" ht="12.75">
      <c r="A72" s="125">
        <v>69</v>
      </c>
      <c r="B72" s="405" t="s">
        <v>447</v>
      </c>
      <c r="C72" s="431">
        <v>0</v>
      </c>
      <c r="D72" s="424">
        <f>ROUND($D$2*C72,0)</f>
        <v>0</v>
      </c>
      <c r="E72" s="431">
        <v>0</v>
      </c>
      <c r="F72" s="424">
        <f>ROUND($F$2*E72,0)</f>
        <v>0</v>
      </c>
      <c r="G72" s="701">
        <f>D72+F72</f>
        <v>0</v>
      </c>
    </row>
    <row r="73" spans="1:7" ht="13.5" thickBot="1">
      <c r="A73" s="581"/>
      <c r="B73" s="582" t="s">
        <v>367</v>
      </c>
      <c r="C73" s="585">
        <f>SUM(C4:C72)</f>
        <v>71</v>
      </c>
      <c r="D73" s="588">
        <f>SUM(D4:D72)</f>
        <v>426000</v>
      </c>
      <c r="E73" s="585">
        <f>SUM(E4:E72)</f>
        <v>105</v>
      </c>
      <c r="F73" s="588">
        <f>SUM(F4:F72)</f>
        <v>420000</v>
      </c>
      <c r="G73" s="718">
        <f>SUM(G4:G72)</f>
        <v>846000</v>
      </c>
    </row>
    <row r="74" spans="1:7" s="42" customFormat="1" ht="21.75" customHeight="1" thickTop="1">
      <c r="A74" s="987"/>
      <c r="B74" s="404" t="s">
        <v>97</v>
      </c>
      <c r="C74" s="417">
        <v>0</v>
      </c>
      <c r="D74" s="416">
        <f>ROUND($D$2*C74,0)</f>
        <v>0</v>
      </c>
      <c r="E74" s="417">
        <v>1</v>
      </c>
      <c r="F74" s="416">
        <f>ROUND($F$2*E74,0)</f>
        <v>4000</v>
      </c>
      <c r="G74" s="700">
        <f>D74+F74</f>
        <v>4000</v>
      </c>
    </row>
    <row r="75" spans="1:4" s="42" customFormat="1" ht="2.25" customHeight="1">
      <c r="A75" s="591"/>
      <c r="B75" s="616"/>
      <c r="C75" s="947"/>
      <c r="D75" s="948"/>
    </row>
    <row r="76" spans="1:8" s="42" customFormat="1" ht="13.5" thickBot="1">
      <c r="A76" s="1373" t="s">
        <v>51</v>
      </c>
      <c r="B76" s="1374"/>
      <c r="C76" s="949">
        <f>SUM(C73:C74)</f>
        <v>71</v>
      </c>
      <c r="D76" s="950">
        <f>SUM(D73:D74)</f>
        <v>426000</v>
      </c>
      <c r="E76" s="951">
        <f>SUM(E73:E74)</f>
        <v>106</v>
      </c>
      <c r="F76" s="952">
        <f>SUM(F73:F74)</f>
        <v>424000</v>
      </c>
      <c r="G76" s="953">
        <f>SUM(G73:G74)</f>
        <v>850000</v>
      </c>
      <c r="H76" s="444">
        <f>D76+F76</f>
        <v>850000</v>
      </c>
    </row>
    <row r="77" spans="1:4" s="42" customFormat="1" ht="13.5" thickTop="1">
      <c r="A77" s="676"/>
      <c r="B77" s="698"/>
      <c r="C77" s="83"/>
      <c r="D77" s="358"/>
    </row>
    <row r="78" spans="1:4" s="42" customFormat="1" ht="12.75">
      <c r="A78" s="676"/>
      <c r="B78" s="698"/>
      <c r="C78" s="83"/>
      <c r="D78" s="83"/>
    </row>
    <row r="79" spans="1:5" s="42" customFormat="1" ht="12.75">
      <c r="A79" s="591"/>
      <c r="B79" s="616"/>
      <c r="C79" s="1017"/>
      <c r="D79" s="1017"/>
      <c r="E79" s="1017"/>
    </row>
    <row r="80" spans="1:4" s="42" customFormat="1" ht="12.75">
      <c r="A80" s="591"/>
      <c r="B80" s="616"/>
      <c r="C80" s="83"/>
      <c r="D80" s="83"/>
    </row>
    <row r="81" spans="1:4" s="42" customFormat="1" ht="12.75">
      <c r="A81" s="83"/>
      <c r="B81" s="83"/>
      <c r="C81" s="83"/>
      <c r="D81" s="83"/>
    </row>
    <row r="82" spans="1:4" s="42" customFormat="1" ht="12.75">
      <c r="A82" s="83"/>
      <c r="B82" s="83"/>
      <c r="C82" s="83"/>
      <c r="D82" s="83"/>
    </row>
    <row r="83" spans="1:4" s="42" customFormat="1" ht="12.75">
      <c r="A83" s="83"/>
      <c r="B83" s="83"/>
      <c r="C83" s="83"/>
      <c r="D83" s="83"/>
    </row>
  </sheetData>
  <sheetProtection/>
  <mergeCells count="4">
    <mergeCell ref="E1:E2"/>
    <mergeCell ref="G1:G2"/>
    <mergeCell ref="C1:C2"/>
    <mergeCell ref="A76:B76"/>
  </mergeCells>
  <printOptions horizontalCentered="1"/>
  <pageMargins left="0.75" right="0.75" top="1.1" bottom="0.35" header="0.37" footer="0.35"/>
  <pageSetup firstPageNumber="19" useFirstPageNumber="1" horizontalDpi="600" verticalDpi="600" orientation="portrait" paperSize="5" scale="85" r:id="rId1"/>
  <headerFooter alignWithMargins="0">
    <oddHeader>&amp;L&amp;"Arial,Bold"&amp;20Table 4A:  FY2009-2010 Budget Letter &amp;"Arial,Regular"&amp;10
&amp;18Foreign Associate Teacher Stipends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75" zoomScaleNormal="75" zoomScaleSheetLayoutView="75" zoomScalePageLayoutView="0" workbookViewId="0" topLeftCell="A1">
      <selection activeCell="R5" sqref="R1:S16384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4.00390625" style="0" customWidth="1"/>
    <col min="4" max="4" width="15.28125" style="0" customWidth="1"/>
    <col min="5" max="5" width="17.140625" style="0" hidden="1" customWidth="1"/>
    <col min="6" max="6" width="17.7109375" style="0" hidden="1" customWidth="1"/>
    <col min="7" max="7" width="14.7109375" style="0" customWidth="1"/>
    <col min="8" max="8" width="14.8515625" style="0" customWidth="1"/>
    <col min="9" max="9" width="17.140625" style="0" hidden="1" customWidth="1"/>
    <col min="10" max="10" width="13.7109375" style="0" hidden="1" customWidth="1"/>
    <col min="11" max="11" width="14.57421875" style="0" customWidth="1"/>
    <col min="12" max="12" width="15.7109375" style="0" customWidth="1"/>
    <col min="13" max="17" width="14.7109375" style="0" customWidth="1"/>
    <col min="18" max="19" width="0" style="0" hidden="1" customWidth="1"/>
  </cols>
  <sheetData>
    <row r="1" ht="0.75" customHeight="1">
      <c r="A1" s="364"/>
    </row>
    <row r="2" spans="1:17" s="2" customFormat="1" ht="57.75" customHeight="1">
      <c r="A2" s="1375" t="s">
        <v>856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</row>
    <row r="3" spans="2:8" ht="11.25" customHeight="1" hidden="1">
      <c r="B3" s="93" t="s">
        <v>239</v>
      </c>
      <c r="C3" s="93"/>
      <c r="D3" s="94" t="s">
        <v>432</v>
      </c>
      <c r="E3" s="93" t="s">
        <v>433</v>
      </c>
      <c r="F3" s="93"/>
      <c r="G3" s="93"/>
      <c r="H3" s="93"/>
    </row>
    <row r="4" spans="2:19" ht="20.25" customHeight="1">
      <c r="B4" s="93"/>
      <c r="C4" s="93"/>
      <c r="D4" s="984"/>
      <c r="E4" s="1376" t="s">
        <v>642</v>
      </c>
      <c r="F4" s="1377"/>
      <c r="G4" s="1377"/>
      <c r="H4" s="1377"/>
      <c r="I4" s="1377"/>
      <c r="J4" s="1377"/>
      <c r="K4" s="1377"/>
      <c r="L4" s="1377"/>
      <c r="M4" s="1378"/>
      <c r="N4" s="1382" t="s">
        <v>694</v>
      </c>
      <c r="O4" s="1383"/>
      <c r="P4" s="1383"/>
      <c r="Q4" s="1383"/>
      <c r="R4" s="1383"/>
      <c r="S4" s="1384"/>
    </row>
    <row r="5" spans="1:19" ht="91.5" customHeight="1">
      <c r="A5" s="1315" t="s">
        <v>416</v>
      </c>
      <c r="B5" s="1315" t="s">
        <v>211</v>
      </c>
      <c r="C5" s="87" t="s">
        <v>453</v>
      </c>
      <c r="D5" s="1312" t="s">
        <v>641</v>
      </c>
      <c r="E5" s="1355" t="s">
        <v>678</v>
      </c>
      <c r="F5" s="1351" t="s">
        <v>646</v>
      </c>
      <c r="G5" s="1379" t="s">
        <v>445</v>
      </c>
      <c r="H5" s="1379" t="s">
        <v>471</v>
      </c>
      <c r="I5" s="1379" t="s">
        <v>679</v>
      </c>
      <c r="J5" s="1390" t="s">
        <v>646</v>
      </c>
      <c r="K5" s="1385" t="s">
        <v>446</v>
      </c>
      <c r="L5" s="1379" t="s">
        <v>472</v>
      </c>
      <c r="M5" s="1312" t="s">
        <v>89</v>
      </c>
      <c r="N5" s="1389" t="s">
        <v>90</v>
      </c>
      <c r="O5" s="1388" t="s">
        <v>483</v>
      </c>
      <c r="P5" s="1329" t="s">
        <v>445</v>
      </c>
      <c r="Q5" s="1386" t="s">
        <v>21</v>
      </c>
      <c r="R5" s="985"/>
      <c r="S5" s="1312" t="s">
        <v>49</v>
      </c>
    </row>
    <row r="6" spans="1:19" ht="30" customHeight="1">
      <c r="A6" s="1317"/>
      <c r="B6" s="1317"/>
      <c r="C6" s="986" t="s">
        <v>60</v>
      </c>
      <c r="D6" s="1314"/>
      <c r="E6" s="1317"/>
      <c r="F6" s="1317"/>
      <c r="G6" s="1381"/>
      <c r="H6" s="1380"/>
      <c r="I6" s="1381"/>
      <c r="J6" s="1380"/>
      <c r="K6" s="1380"/>
      <c r="L6" s="1381"/>
      <c r="M6" s="1314"/>
      <c r="N6" s="1330"/>
      <c r="O6" s="1330"/>
      <c r="P6" s="1330"/>
      <c r="Q6" s="1387"/>
      <c r="R6" s="985"/>
      <c r="S6" s="1314"/>
    </row>
    <row r="7" spans="1:19" ht="12.75">
      <c r="A7" s="140"/>
      <c r="B7" s="296">
        <v>1</v>
      </c>
      <c r="C7" s="296">
        <f aca="true" t="shared" si="0" ref="C7:H7">B7+1</f>
        <v>2</v>
      </c>
      <c r="D7" s="296">
        <f t="shared" si="0"/>
        <v>3</v>
      </c>
      <c r="E7" s="296">
        <f t="shared" si="0"/>
        <v>4</v>
      </c>
      <c r="F7" s="296">
        <f t="shared" si="0"/>
        <v>5</v>
      </c>
      <c r="G7" s="296">
        <v>4</v>
      </c>
      <c r="H7" s="296">
        <f t="shared" si="0"/>
        <v>5</v>
      </c>
      <c r="I7" s="296">
        <f>H7+1</f>
        <v>6</v>
      </c>
      <c r="J7" s="296">
        <f>I7+1</f>
        <v>7</v>
      </c>
      <c r="K7" s="296">
        <v>6</v>
      </c>
      <c r="L7" s="296">
        <f aca="true" t="shared" si="1" ref="L7:R7">K7+1</f>
        <v>7</v>
      </c>
      <c r="M7" s="296">
        <f t="shared" si="1"/>
        <v>8</v>
      </c>
      <c r="N7" s="296">
        <f t="shared" si="1"/>
        <v>9</v>
      </c>
      <c r="O7" s="296">
        <f t="shared" si="1"/>
        <v>10</v>
      </c>
      <c r="P7" s="296">
        <f t="shared" si="1"/>
        <v>11</v>
      </c>
      <c r="Q7" s="296">
        <f t="shared" si="1"/>
        <v>12</v>
      </c>
      <c r="R7" s="296">
        <f t="shared" si="1"/>
        <v>13</v>
      </c>
      <c r="S7" s="296">
        <v>12</v>
      </c>
    </row>
    <row r="8" spans="1:19" ht="25.5">
      <c r="A8" s="298" t="s">
        <v>628</v>
      </c>
      <c r="B8" s="297">
        <f>'Table 8 Membership, 2.1.09'!R76</f>
        <v>1344</v>
      </c>
      <c r="C8" s="76">
        <f>'Table 3 Levels 1&amp;2'!AL77</f>
        <v>4624.882160539793</v>
      </c>
      <c r="D8" s="76">
        <f>B8*ROUND(C8,0)</f>
        <v>6216000</v>
      </c>
      <c r="E8" s="76">
        <f>'[2]Total Pay Increase'!$D$76</f>
        <v>260404</v>
      </c>
      <c r="F8" s="57">
        <f>'[1]4-MFP_&amp;_Other_Funded'!$F$91</f>
        <v>1331</v>
      </c>
      <c r="G8" s="76">
        <f>ROUND(E8/F8,0)</f>
        <v>196</v>
      </c>
      <c r="H8" s="76">
        <f>G8*B8</f>
        <v>263424</v>
      </c>
      <c r="I8" s="76">
        <f>'[2]Total Pay Increase'!$F$76</f>
        <v>30548</v>
      </c>
      <c r="J8" s="680">
        <f>F8</f>
        <v>1331</v>
      </c>
      <c r="K8" s="76">
        <f>ROUND(I8/J8,0)</f>
        <v>23</v>
      </c>
      <c r="L8" s="76">
        <f>K8*B8</f>
        <v>30912</v>
      </c>
      <c r="M8" s="76">
        <f>L8+H8</f>
        <v>294336</v>
      </c>
      <c r="N8" s="76">
        <f>'[12]Lab Schools'!$D$5</f>
        <v>111772</v>
      </c>
      <c r="O8" s="680">
        <f>'[8]Base Membership'!$E$85</f>
        <v>1345</v>
      </c>
      <c r="P8" s="76">
        <f>N8/O8</f>
        <v>83.10185873605948</v>
      </c>
      <c r="Q8" s="76">
        <f>P8*B8</f>
        <v>111688.89814126394</v>
      </c>
      <c r="R8" s="983"/>
      <c r="S8" s="76">
        <f>P8*B8</f>
        <v>111688.89814126394</v>
      </c>
    </row>
    <row r="9" spans="1:19" ht="25.5">
      <c r="A9" s="299" t="s">
        <v>629</v>
      </c>
      <c r="B9" s="297">
        <f>'Table 8 Membership, 2.1.09'!R77</f>
        <v>345</v>
      </c>
      <c r="C9" s="76">
        <f>'Table 3 Levels 1&amp;2'!AL77</f>
        <v>4624.882160539793</v>
      </c>
      <c r="D9" s="76">
        <f>B9*ROUND(C9,0)</f>
        <v>1595625</v>
      </c>
      <c r="E9" s="76">
        <f>'[2]Total Pay Increase'!$D$77</f>
        <v>91385</v>
      </c>
      <c r="F9" s="57">
        <f>'[1]4-MFP_&amp;_Other_Funded'!$F$92-3</f>
        <v>421</v>
      </c>
      <c r="G9" s="76">
        <f>ROUND(E9/F9,0)</f>
        <v>217</v>
      </c>
      <c r="H9" s="76">
        <f>G9*B9</f>
        <v>74865</v>
      </c>
      <c r="I9" s="76">
        <f>'[2]Total Pay Increase'!$F$77</f>
        <v>24801</v>
      </c>
      <c r="J9" s="680">
        <f>F9</f>
        <v>421</v>
      </c>
      <c r="K9" s="76">
        <f>ROUND(I9/J9,0)</f>
        <v>59</v>
      </c>
      <c r="L9" s="76">
        <f>K9*B9</f>
        <v>20355</v>
      </c>
      <c r="M9" s="76">
        <f>L9+H9</f>
        <v>95220</v>
      </c>
      <c r="N9" s="76">
        <f>'[12]Lab Schools'!$D$6</f>
        <v>42370</v>
      </c>
      <c r="O9" s="680">
        <f>'[8]Base Membership'!$E$86</f>
        <v>353</v>
      </c>
      <c r="P9" s="76">
        <f>N9/O9</f>
        <v>120.02832861189802</v>
      </c>
      <c r="Q9" s="76">
        <f>P9*B9</f>
        <v>41409.77337110481</v>
      </c>
      <c r="R9" s="983"/>
      <c r="S9" s="76">
        <f>P9*B9</f>
        <v>41409.77337110481</v>
      </c>
    </row>
    <row r="10" spans="1:19" s="8" customFormat="1" ht="25.5" customHeight="1" thickBot="1">
      <c r="A10" s="50" t="s">
        <v>395</v>
      </c>
      <c r="B10" s="96">
        <f>SUM(B8:B9)</f>
        <v>1689</v>
      </c>
      <c r="C10" s="52"/>
      <c r="D10" s="51">
        <f>SUM(D8:D9)</f>
        <v>7811625</v>
      </c>
      <c r="E10" s="51">
        <f>SUM(E8:E9)</f>
        <v>351789</v>
      </c>
      <c r="F10" s="679">
        <f>SUM(F8:F9)</f>
        <v>1752</v>
      </c>
      <c r="G10" s="51"/>
      <c r="H10" s="51">
        <f>SUM(H8:H9)</f>
        <v>338289</v>
      </c>
      <c r="I10" s="51">
        <f>SUM(I8:I9)</f>
        <v>55349</v>
      </c>
      <c r="J10" s="681">
        <f>SUM(J8:J9)</f>
        <v>1752</v>
      </c>
      <c r="K10" s="51"/>
      <c r="L10" s="51">
        <f>SUM(L8:L9)</f>
        <v>51267</v>
      </c>
      <c r="M10" s="51">
        <f>SUM(M8:M9)</f>
        <v>389556</v>
      </c>
      <c r="N10" s="51">
        <f>SUM(N8:N9)</f>
        <v>154142</v>
      </c>
      <c r="O10" s="681">
        <f>SUM(O8:O9)</f>
        <v>1698</v>
      </c>
      <c r="P10" s="51"/>
      <c r="Q10" s="51">
        <f>SUM(Q8:Q9)</f>
        <v>153098.67151236875</v>
      </c>
      <c r="R10" s="983"/>
      <c r="S10" s="51">
        <f>SUM(S8:S9)</f>
        <v>153098.67151236875</v>
      </c>
    </row>
    <row r="11" spans="1:7" s="8" customFormat="1" ht="13.5" thickTop="1">
      <c r="A11" s="116"/>
      <c r="B11" s="117"/>
      <c r="C11" s="118"/>
      <c r="D11" s="119"/>
      <c r="E11" s="119"/>
      <c r="F11" s="119"/>
      <c r="G11" s="119"/>
    </row>
    <row r="12" spans="1:7" s="8" customFormat="1" ht="12.75">
      <c r="A12" s="116"/>
      <c r="B12" s="117"/>
      <c r="C12" s="118"/>
      <c r="D12" s="119"/>
      <c r="E12" s="119"/>
      <c r="F12" s="119"/>
      <c r="G12" s="119"/>
    </row>
    <row r="13" s="8" customFormat="1" ht="18.75" customHeight="1">
      <c r="A13" s="116"/>
    </row>
    <row r="14" spans="1:16" s="8" customFormat="1" ht="15" customHeight="1">
      <c r="A14" s="1315" t="s">
        <v>416</v>
      </c>
      <c r="B14" s="1312" t="s">
        <v>733</v>
      </c>
      <c r="C14" s="1312" t="s">
        <v>822</v>
      </c>
      <c r="D14" s="1312" t="s">
        <v>852</v>
      </c>
      <c r="G14" s="1312" t="s">
        <v>853</v>
      </c>
      <c r="H14" s="1318" t="s">
        <v>735</v>
      </c>
      <c r="I14" s="1315"/>
      <c r="K14" s="1312" t="s">
        <v>854</v>
      </c>
      <c r="L14" s="1391" t="s">
        <v>177</v>
      </c>
      <c r="M14" s="1312" t="s">
        <v>855</v>
      </c>
      <c r="N14" s="1315" t="s">
        <v>851</v>
      </c>
      <c r="O14" s="1315" t="s">
        <v>847</v>
      </c>
      <c r="P14" s="1315" t="s">
        <v>734</v>
      </c>
    </row>
    <row r="15" spans="1:16" s="8" customFormat="1" ht="159.75" customHeight="1">
      <c r="A15" s="1317"/>
      <c r="B15" s="1314"/>
      <c r="C15" s="1314"/>
      <c r="D15" s="1314"/>
      <c r="G15" s="1314"/>
      <c r="H15" s="1320"/>
      <c r="I15" s="1317"/>
      <c r="K15" s="1314"/>
      <c r="L15" s="1392"/>
      <c r="M15" s="1314"/>
      <c r="N15" s="1317"/>
      <c r="O15" s="1317"/>
      <c r="P15" s="1317"/>
    </row>
    <row r="16" spans="1:16" s="8" customFormat="1" ht="15" customHeight="1">
      <c r="A16" s="140"/>
      <c r="B16" s="296">
        <f>Q7+1</f>
        <v>13</v>
      </c>
      <c r="C16" s="296">
        <f>B16+1</f>
        <v>14</v>
      </c>
      <c r="D16" s="296">
        <f>C16+1</f>
        <v>15</v>
      </c>
      <c r="E16" s="296">
        <f>G16+1</f>
        <v>17</v>
      </c>
      <c r="F16" s="296">
        <f>E16+1</f>
        <v>18</v>
      </c>
      <c r="G16" s="296">
        <f>D16+1</f>
        <v>16</v>
      </c>
      <c r="H16" s="296">
        <f>G16+1</f>
        <v>17</v>
      </c>
      <c r="I16" s="296">
        <f>R7+1</f>
        <v>14</v>
      </c>
      <c r="J16" s="296">
        <f>S7+1</f>
        <v>13</v>
      </c>
      <c r="K16" s="296">
        <f>H16+1</f>
        <v>18</v>
      </c>
      <c r="L16" s="296">
        <f>K16+1</f>
        <v>19</v>
      </c>
      <c r="M16" s="296">
        <f>L16+1</f>
        <v>20</v>
      </c>
      <c r="N16" s="296">
        <f>M16+1</f>
        <v>21</v>
      </c>
      <c r="O16" s="296">
        <f>N16+1</f>
        <v>22</v>
      </c>
      <c r="P16" s="296">
        <f>O16+1</f>
        <v>23</v>
      </c>
    </row>
    <row r="17" spans="1:16" s="8" customFormat="1" ht="27.75" customHeight="1">
      <c r="A17" s="298" t="s">
        <v>628</v>
      </c>
      <c r="B17" s="1033">
        <f>S8+M8+D8</f>
        <v>6622024.898141264</v>
      </c>
      <c r="C17" s="1033">
        <f>'Dec Midyear Adjustment'!O77</f>
        <v>73904.76028913779</v>
      </c>
      <c r="D17" s="1033">
        <f>'March Midyear Adjustment'!M77</f>
        <v>0</v>
      </c>
      <c r="G17" s="1033">
        <f>B17+C17+D17</f>
        <v>6695929.658430402</v>
      </c>
      <c r="H17" s="1031">
        <f>-'[17]FY2009-10 MFP SFSF Funds'!$D76</f>
        <v>-202424</v>
      </c>
      <c r="I17" s="76"/>
      <c r="K17" s="1033">
        <f>G17+H17</f>
        <v>6493505.658430402</v>
      </c>
      <c r="L17" s="76">
        <f>'[14]Audit Adjs - TOTAL'!$F$86</f>
        <v>0</v>
      </c>
      <c r="M17" s="1033">
        <f>K17+L17</f>
        <v>6493505.658430402</v>
      </c>
      <c r="N17" s="76">
        <f>'[26]MFP'!$BY$84</f>
        <v>4333899</v>
      </c>
      <c r="O17" s="76">
        <f>M17-N17</f>
        <v>2159606.658430402</v>
      </c>
      <c r="P17" s="76">
        <f>O17/4</f>
        <v>539901.6646076005</v>
      </c>
    </row>
    <row r="18" spans="1:16" s="8" customFormat="1" ht="26.25" customHeight="1">
      <c r="A18" s="299" t="s">
        <v>629</v>
      </c>
      <c r="B18" s="1033">
        <f>S9+M9+D9</f>
        <v>1732254.7733711048</v>
      </c>
      <c r="C18" s="1033">
        <f>'Dec Midyear Adjustment'!O78</f>
        <v>0</v>
      </c>
      <c r="D18" s="1033">
        <f>'March Midyear Adjustment'!M78</f>
        <v>0</v>
      </c>
      <c r="G18" s="1033">
        <f>B18+C18+D18</f>
        <v>1732254.7733711048</v>
      </c>
      <c r="H18" s="1031">
        <f>-'[17]FY2009-10 MFP SFSF Funds'!$D77</f>
        <v>-52952</v>
      </c>
      <c r="I18" s="76"/>
      <c r="K18" s="1033">
        <f>G18+H18</f>
        <v>1679302.7733711048</v>
      </c>
      <c r="L18" s="76">
        <f>'[14]Audit Adjs - TOTAL'!$F$87</f>
        <v>-3759.706809959278</v>
      </c>
      <c r="M18" s="1033">
        <f>K18+L18</f>
        <v>1675543.0665611455</v>
      </c>
      <c r="N18" s="76">
        <f>'[26]MFP'!$BY$85</f>
        <v>1122913</v>
      </c>
      <c r="O18" s="76">
        <f>M18-N18</f>
        <v>552630.0665611455</v>
      </c>
      <c r="P18" s="76">
        <f>O18/4</f>
        <v>138157.51664028637</v>
      </c>
    </row>
    <row r="19" spans="1:16" s="8" customFormat="1" ht="28.5" customHeight="1" thickBot="1">
      <c r="A19" s="50" t="s">
        <v>395</v>
      </c>
      <c r="B19" s="1034">
        <f>SUM(B17:B18)</f>
        <v>8354279.671512369</v>
      </c>
      <c r="C19" s="1034">
        <f>SUM(C17:C18)</f>
        <v>73904.76028913779</v>
      </c>
      <c r="D19" s="1034">
        <f>SUM(D17:D18)</f>
        <v>0</v>
      </c>
      <c r="G19" s="1034">
        <f>SUM(G17:G18)</f>
        <v>8428184.431801507</v>
      </c>
      <c r="H19" s="1032">
        <f>SUM(H17:H18)</f>
        <v>-255376</v>
      </c>
      <c r="I19" s="51"/>
      <c r="K19" s="1034">
        <f aca="true" t="shared" si="2" ref="K19:P19">SUM(K17:K18)</f>
        <v>8172808.431801507</v>
      </c>
      <c r="L19" s="51">
        <f t="shared" si="2"/>
        <v>-3759.706809959278</v>
      </c>
      <c r="M19" s="1034">
        <f t="shared" si="2"/>
        <v>8169048.724991548</v>
      </c>
      <c r="N19" s="51">
        <f t="shared" si="2"/>
        <v>5456812</v>
      </c>
      <c r="O19" s="51">
        <f t="shared" si="2"/>
        <v>2712236.724991548</v>
      </c>
      <c r="P19" s="51">
        <f t="shared" si="2"/>
        <v>678059.181247887</v>
      </c>
    </row>
    <row r="20" spans="1:12" s="8" customFormat="1" ht="29.25" customHeight="1" thickTop="1">
      <c r="A20" s="116"/>
      <c r="B20" s="119"/>
      <c r="C20" s="827"/>
      <c r="D20" s="119"/>
      <c r="E20" s="119"/>
      <c r="F20" s="119"/>
      <c r="G20" s="119"/>
      <c r="H20" s="827"/>
      <c r="I20" s="119"/>
      <c r="J20" s="119"/>
      <c r="K20" s="119"/>
      <c r="L20" s="119"/>
    </row>
    <row r="21" spans="1:5" s="8" customFormat="1" ht="18.75" customHeight="1">
      <c r="A21" s="116"/>
      <c r="B21" s="162"/>
      <c r="C21" s="162"/>
      <c r="D21" s="2"/>
      <c r="E21" s="163"/>
    </row>
    <row r="22" spans="1:5" s="8" customFormat="1" ht="18.75" customHeight="1">
      <c r="A22" s="116"/>
      <c r="B22" s="162"/>
      <c r="C22" s="162"/>
      <c r="D22" s="2"/>
      <c r="E22" s="163"/>
    </row>
    <row r="23" spans="1:8" s="8" customFormat="1" ht="18.75" customHeight="1">
      <c r="A23" s="116"/>
      <c r="B23" s="162"/>
      <c r="C23" s="162"/>
      <c r="D23" s="2"/>
      <c r="E23" s="163"/>
      <c r="F23" s="163"/>
      <c r="G23" s="163"/>
      <c r="H23" s="163"/>
    </row>
  </sheetData>
  <sheetProtection/>
  <mergeCells count="33">
    <mergeCell ref="A5:A6"/>
    <mergeCell ref="D5:D6"/>
    <mergeCell ref="E5:E6"/>
    <mergeCell ref="S5:S6"/>
    <mergeCell ref="B5:B6"/>
    <mergeCell ref="L14:L15"/>
    <mergeCell ref="P14:P15"/>
    <mergeCell ref="M14:M15"/>
    <mergeCell ref="B14:B15"/>
    <mergeCell ref="F5:F6"/>
    <mergeCell ref="L5:L6"/>
    <mergeCell ref="G5:G6"/>
    <mergeCell ref="Q5:Q6"/>
    <mergeCell ref="O5:O6"/>
    <mergeCell ref="N5:N6"/>
    <mergeCell ref="M5:M6"/>
    <mergeCell ref="J5:J6"/>
    <mergeCell ref="A2:Q2"/>
    <mergeCell ref="E4:M4"/>
    <mergeCell ref="H5:H6"/>
    <mergeCell ref="I5:I6"/>
    <mergeCell ref="N14:N15"/>
    <mergeCell ref="D14:D15"/>
    <mergeCell ref="O14:O15"/>
    <mergeCell ref="N4:S4"/>
    <mergeCell ref="P5:P6"/>
    <mergeCell ref="K5:K6"/>
    <mergeCell ref="A14:A15"/>
    <mergeCell ref="C14:C15"/>
    <mergeCell ref="G14:G15"/>
    <mergeCell ref="H14:H15"/>
    <mergeCell ref="K14:K15"/>
    <mergeCell ref="I14:I15"/>
  </mergeCells>
  <printOptions horizontalCentered="1"/>
  <pageMargins left="0.25" right="0" top="0.65" bottom="0.25" header="0.25" footer="0.25"/>
  <pageSetup firstPageNumber="20" useFirstPageNumber="1" horizontalDpi="600" verticalDpi="600" orientation="landscape" paperSize="5" scale="80" r:id="rId1"/>
  <headerFooter alignWithMargins="0">
    <oddHeader>&amp;R
</oddHeader>
    <oddFooter>&amp;R&amp;12&amp;P</oddFooter>
  </headerFooter>
  <rowBreaks count="1" manualBreakCount="1">
    <brk id="2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="75" zoomScaleNormal="75" zoomScaleSheetLayoutView="67" zoomScalePageLayoutView="0" workbookViewId="0" topLeftCell="A1">
      <pane xSplit="2" ySplit="5" topLeftCell="C45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S50" sqref="S50"/>
    </sheetView>
  </sheetViews>
  <sheetFormatPr defaultColWidth="9.140625" defaultRowHeight="12.75"/>
  <cols>
    <col min="2" max="2" width="50.421875" style="0" customWidth="1"/>
    <col min="3" max="3" width="11.421875" style="0" bestFit="1" customWidth="1"/>
    <col min="4" max="4" width="14.57421875" style="0" bestFit="1" customWidth="1"/>
    <col min="5" max="5" width="16.140625" style="0" customWidth="1"/>
    <col min="6" max="6" width="18.140625" style="0" customWidth="1"/>
    <col min="7" max="7" width="20.28125" style="0" customWidth="1"/>
    <col min="8" max="8" width="12.8515625" style="0" customWidth="1"/>
    <col min="9" max="9" width="14.140625" style="0" customWidth="1"/>
    <col min="10" max="11" width="13.8515625" style="0" customWidth="1"/>
    <col min="12" max="12" width="9.8515625" style="0" bestFit="1" customWidth="1"/>
    <col min="13" max="13" width="13.8515625" style="0" customWidth="1"/>
    <col min="14" max="16" width="14.7109375" style="0" customWidth="1"/>
    <col min="17" max="17" width="11.57421875" style="0" customWidth="1"/>
    <col min="18" max="18" width="14.7109375" style="0" customWidth="1"/>
    <col min="19" max="21" width="16.28125" style="0" customWidth="1"/>
    <col min="22" max="22" width="17.140625" style="0" customWidth="1"/>
    <col min="23" max="24" width="17.7109375" style="0" customWidth="1"/>
    <col min="25" max="27" width="14.140625" style="0" customWidth="1"/>
    <col min="28" max="28" width="17.00390625" style="0" customWidth="1"/>
    <col min="29" max="29" width="19.421875" style="0" customWidth="1"/>
    <col min="30" max="30" width="24.8515625" style="0" customWidth="1"/>
    <col min="31" max="31" width="19.421875" style="0" customWidth="1"/>
    <col min="32" max="32" width="18.8515625" style="0" customWidth="1"/>
    <col min="33" max="33" width="17.00390625" style="0" customWidth="1"/>
  </cols>
  <sheetData>
    <row r="1" ht="21" customHeight="1" thickBot="1">
      <c r="B1" s="364"/>
    </row>
    <row r="2" spans="3:31" ht="39.75" customHeight="1" thickBot="1">
      <c r="C2" s="93"/>
      <c r="D2" s="717">
        <f>'Table 3 Levels 1&amp;2'!AL43</f>
        <v>3253.87339114165</v>
      </c>
      <c r="E2" s="95"/>
      <c r="F2" s="1393" t="s">
        <v>470</v>
      </c>
      <c r="G2" s="1394"/>
      <c r="H2" s="1394"/>
      <c r="I2" s="1394"/>
      <c r="J2" s="1393" t="s">
        <v>86</v>
      </c>
      <c r="K2" s="1394"/>
      <c r="L2" s="1394"/>
      <c r="M2" s="1394"/>
      <c r="N2" s="1395"/>
      <c r="O2" s="1352" t="s">
        <v>662</v>
      </c>
      <c r="P2" s="1353"/>
      <c r="Q2" s="1353"/>
      <c r="R2" s="1354"/>
      <c r="S2" s="95"/>
      <c r="T2" s="95"/>
      <c r="U2" s="95"/>
      <c r="V2" s="95"/>
      <c r="W2" s="95"/>
      <c r="X2" s="95"/>
      <c r="Y2" s="635"/>
      <c r="Z2" s="635"/>
      <c r="AA2" s="635"/>
      <c r="AB2" s="94"/>
      <c r="AC2" s="93"/>
      <c r="AD2" s="93"/>
      <c r="AE2" s="93"/>
    </row>
    <row r="3" spans="2:31" ht="120" customHeight="1">
      <c r="B3" s="1315" t="s">
        <v>408</v>
      </c>
      <c r="C3" s="1396" t="s">
        <v>659</v>
      </c>
      <c r="D3" s="87" t="s">
        <v>243</v>
      </c>
      <c r="E3" s="1312" t="s">
        <v>275</v>
      </c>
      <c r="F3" s="1355" t="s">
        <v>65</v>
      </c>
      <c r="G3" s="1351" t="s">
        <v>677</v>
      </c>
      <c r="H3" s="1315" t="s">
        <v>445</v>
      </c>
      <c r="I3" s="1371" t="s">
        <v>471</v>
      </c>
      <c r="J3" s="1355" t="s">
        <v>247</v>
      </c>
      <c r="K3" s="1351" t="s">
        <v>677</v>
      </c>
      <c r="L3" s="1315" t="s">
        <v>645</v>
      </c>
      <c r="M3" s="1371" t="s">
        <v>472</v>
      </c>
      <c r="N3" s="1312" t="s">
        <v>246</v>
      </c>
      <c r="O3" s="1355" t="s">
        <v>663</v>
      </c>
      <c r="P3" s="1351" t="s">
        <v>481</v>
      </c>
      <c r="Q3" s="1315" t="s">
        <v>20</v>
      </c>
      <c r="R3" s="1355" t="s">
        <v>21</v>
      </c>
      <c r="S3" s="1312" t="s">
        <v>693</v>
      </c>
      <c r="T3" s="1312" t="s">
        <v>789</v>
      </c>
      <c r="U3" s="1312" t="s">
        <v>905</v>
      </c>
      <c r="V3" s="1312" t="s">
        <v>790</v>
      </c>
      <c r="W3" s="1318" t="s">
        <v>819</v>
      </c>
      <c r="X3" s="1312" t="s">
        <v>816</v>
      </c>
      <c r="Y3" s="1391" t="s">
        <v>176</v>
      </c>
      <c r="Z3" s="1391" t="s">
        <v>177</v>
      </c>
      <c r="AA3" s="696" t="s">
        <v>681</v>
      </c>
      <c r="AB3" s="1312" t="s">
        <v>59</v>
      </c>
      <c r="AC3" s="227"/>
      <c r="AD3" s="227"/>
      <c r="AE3" s="227"/>
    </row>
    <row r="4" spans="1:31" ht="37.5" customHeight="1">
      <c r="A4" t="s">
        <v>272</v>
      </c>
      <c r="B4" s="1317"/>
      <c r="C4" s="1397"/>
      <c r="D4" s="283" t="s">
        <v>60</v>
      </c>
      <c r="E4" s="1314"/>
      <c r="F4" s="1317"/>
      <c r="G4" s="1317"/>
      <c r="H4" s="1317"/>
      <c r="I4" s="1314"/>
      <c r="J4" s="1356"/>
      <c r="K4" s="1317"/>
      <c r="L4" s="1317"/>
      <c r="M4" s="1372"/>
      <c r="N4" s="1314"/>
      <c r="O4" s="1317"/>
      <c r="P4" s="1317"/>
      <c r="Q4" s="1317"/>
      <c r="R4" s="1317"/>
      <c r="S4" s="1314"/>
      <c r="T4" s="1314"/>
      <c r="U4" s="1314"/>
      <c r="V4" s="1314"/>
      <c r="W4" s="1320"/>
      <c r="X4" s="1314"/>
      <c r="Y4" s="1392"/>
      <c r="Z4" s="1392"/>
      <c r="AA4" s="731"/>
      <c r="AB4" s="1314"/>
      <c r="AC4" s="228"/>
      <c r="AD4" s="228"/>
      <c r="AE4" s="228"/>
    </row>
    <row r="5" spans="2:31" ht="15.75" customHeight="1">
      <c r="B5" s="140"/>
      <c r="C5" s="296">
        <v>1</v>
      </c>
      <c r="D5" s="296">
        <f>C5+1</f>
        <v>2</v>
      </c>
      <c r="E5" s="296">
        <f>D5+1</f>
        <v>3</v>
      </c>
      <c r="F5" s="296">
        <f aca="true" t="shared" si="0" ref="F5:U5">E5+1</f>
        <v>4</v>
      </c>
      <c r="G5" s="296">
        <f t="shared" si="0"/>
        <v>5</v>
      </c>
      <c r="H5" s="296">
        <f t="shared" si="0"/>
        <v>6</v>
      </c>
      <c r="I5" s="296">
        <f t="shared" si="0"/>
        <v>7</v>
      </c>
      <c r="J5" s="296">
        <f t="shared" si="0"/>
        <v>8</v>
      </c>
      <c r="K5" s="296">
        <f t="shared" si="0"/>
        <v>9</v>
      </c>
      <c r="L5" s="296">
        <f t="shared" si="0"/>
        <v>10</v>
      </c>
      <c r="M5" s="296">
        <f t="shared" si="0"/>
        <v>11</v>
      </c>
      <c r="N5" s="296">
        <f t="shared" si="0"/>
        <v>12</v>
      </c>
      <c r="O5" s="296">
        <f t="shared" si="0"/>
        <v>13</v>
      </c>
      <c r="P5" s="296">
        <f t="shared" si="0"/>
        <v>14</v>
      </c>
      <c r="Q5" s="296">
        <f t="shared" si="0"/>
        <v>15</v>
      </c>
      <c r="R5" s="296">
        <f t="shared" si="0"/>
        <v>16</v>
      </c>
      <c r="S5" s="296">
        <f t="shared" si="0"/>
        <v>17</v>
      </c>
      <c r="T5" s="296">
        <f t="shared" si="0"/>
        <v>18</v>
      </c>
      <c r="U5" s="296">
        <f t="shared" si="0"/>
        <v>19</v>
      </c>
      <c r="V5" s="296">
        <f aca="true" t="shared" si="1" ref="V5:AB5">U5+1</f>
        <v>20</v>
      </c>
      <c r="W5" s="296">
        <f t="shared" si="1"/>
        <v>21</v>
      </c>
      <c r="X5" s="296">
        <f t="shared" si="1"/>
        <v>22</v>
      </c>
      <c r="Y5" s="296">
        <f t="shared" si="1"/>
        <v>23</v>
      </c>
      <c r="Z5" s="296">
        <f t="shared" si="1"/>
        <v>24</v>
      </c>
      <c r="AA5" s="296">
        <f t="shared" si="1"/>
        <v>25</v>
      </c>
      <c r="AB5" s="296">
        <f t="shared" si="1"/>
        <v>26</v>
      </c>
      <c r="AC5" s="454"/>
      <c r="AD5" s="454"/>
      <c r="AE5" s="454"/>
    </row>
    <row r="6" spans="2:31" ht="32.25" customHeight="1">
      <c r="B6" s="636" t="s">
        <v>122</v>
      </c>
      <c r="C6" s="637">
        <f>'Table 8 Membership, 2.1.09'!R40-'Table 8 Membership, 2.1.09'!R125</f>
        <v>9827</v>
      </c>
      <c r="D6" s="638">
        <f>$D$2</f>
        <v>3253.87339114165</v>
      </c>
      <c r="E6" s="638">
        <f>ROUND(C6*D6,0)</f>
        <v>31975814</v>
      </c>
      <c r="F6" s="638">
        <f>'[2]Total Pay Increase'!$D$40</f>
        <v>2469595</v>
      </c>
      <c r="G6" s="639">
        <f>'[5]Table 5B_RSD'!$F$7</f>
        <v>9505</v>
      </c>
      <c r="H6" s="638">
        <f>F6/G6</f>
        <v>259.82062072593374</v>
      </c>
      <c r="I6" s="638">
        <f>H6*C6</f>
        <v>2553257.2398737506</v>
      </c>
      <c r="J6" s="638">
        <f>'[2]Total Pay Increase'!$F$40</f>
        <v>432268</v>
      </c>
      <c r="K6" s="640">
        <f>G6</f>
        <v>9505</v>
      </c>
      <c r="L6" s="641">
        <f>J6/K6</f>
        <v>45.477958968963705</v>
      </c>
      <c r="M6" s="638">
        <f>L6*C6</f>
        <v>446911.90278800635</v>
      </c>
      <c r="N6" s="638">
        <f>I6+M6</f>
        <v>3000169.142661757</v>
      </c>
      <c r="O6" s="638">
        <f>'[12]Total Pay Increase'!$J$41</f>
        <v>1088281</v>
      </c>
      <c r="P6" s="640">
        <f>'[9]5B1_RSD_Orleans_corrected order'!$E$8</f>
        <v>9932</v>
      </c>
      <c r="Q6" s="638">
        <f>O6/P6</f>
        <v>109.57319774466372</v>
      </c>
      <c r="R6" s="638">
        <f>Q6*C6</f>
        <v>1076775.8142368104</v>
      </c>
      <c r="S6" s="956">
        <f>E6+N6+R6</f>
        <v>36052758.95689857</v>
      </c>
      <c r="T6" s="967">
        <f>'Dec Midyear Adjustment'!O41</f>
        <v>924523.7824824651</v>
      </c>
      <c r="U6" s="967">
        <f>'March Midyear Adjustment'!M41</f>
        <v>0</v>
      </c>
      <c r="V6" s="956">
        <f>S6+T6+U6</f>
        <v>36977282.73938104</v>
      </c>
      <c r="W6" s="1160">
        <f>-'[22]RSD - Orleans'!$C5</f>
        <v>-1102070</v>
      </c>
      <c r="X6" s="967">
        <f>V6+W6</f>
        <v>35875212.73938104</v>
      </c>
      <c r="Y6" s="642" t="s">
        <v>295</v>
      </c>
      <c r="Z6" s="642" t="s">
        <v>295</v>
      </c>
      <c r="AA6" s="826" t="s">
        <v>175</v>
      </c>
      <c r="AB6" s="955" t="s">
        <v>295</v>
      </c>
      <c r="AC6" s="454"/>
      <c r="AD6" s="454"/>
      <c r="AE6" s="454"/>
    </row>
    <row r="7" spans="2:31" ht="8.25" customHeight="1">
      <c r="B7" s="961"/>
      <c r="C7" s="962"/>
      <c r="D7" s="963"/>
      <c r="E7" s="997"/>
      <c r="F7" s="964"/>
      <c r="G7" s="965"/>
      <c r="H7" s="964"/>
      <c r="I7" s="997"/>
      <c r="J7" s="964"/>
      <c r="K7" s="962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6"/>
      <c r="AC7" s="455"/>
      <c r="AD7" s="455"/>
      <c r="AE7" s="456"/>
    </row>
    <row r="8" spans="2:31" ht="32.25" customHeight="1">
      <c r="B8" s="643" t="s">
        <v>277</v>
      </c>
      <c r="C8" s="644">
        <f>'Table 8 Membership, 2.1.09'!R84</f>
        <v>11671</v>
      </c>
      <c r="D8" s="638">
        <f>$D$2</f>
        <v>3253.87339114165</v>
      </c>
      <c r="E8" s="638">
        <f>ROUND(C8*D8,0)</f>
        <v>37975956</v>
      </c>
      <c r="F8" s="638">
        <f>'[2]Total Pay Increase'!$D$78</f>
        <v>3710790</v>
      </c>
      <c r="G8" s="639">
        <f>'[5]Table 5B_RSD'!$F$9</f>
        <v>10852</v>
      </c>
      <c r="H8" s="638">
        <f>F8/G8</f>
        <v>341.94526354589016</v>
      </c>
      <c r="I8" s="638">
        <f>H8*C8</f>
        <v>3990843.170844084</v>
      </c>
      <c r="J8" s="638">
        <f>'[2]Total Pay Increase'!$F$78</f>
        <v>519921</v>
      </c>
      <c r="K8" s="640">
        <f>G8</f>
        <v>10852</v>
      </c>
      <c r="L8" s="641">
        <f>J8/K8</f>
        <v>47.91015481017324</v>
      </c>
      <c r="M8" s="638">
        <f>L8*C8</f>
        <v>559159.4167895318</v>
      </c>
      <c r="N8" s="638">
        <f>I8+M8</f>
        <v>4550002.587633616</v>
      </c>
      <c r="O8" s="638">
        <f>'[12]Total Pay Increase'!$J$79</f>
        <v>1134156</v>
      </c>
      <c r="P8" s="640">
        <f>'[9]5B1_RSD_Orleans_corrected order'!$E$10</f>
        <v>11959</v>
      </c>
      <c r="Q8" s="638">
        <f>O8/P8</f>
        <v>94.83702650723305</v>
      </c>
      <c r="R8" s="638">
        <f>Q8*C8</f>
        <v>1106842.9363659169</v>
      </c>
      <c r="S8" s="956">
        <f>E8+N8+R8</f>
        <v>43632801.523999535</v>
      </c>
      <c r="T8" s="967">
        <f>'Dec Midyear Adjustment'!O85</f>
        <v>-85987.01422811375</v>
      </c>
      <c r="U8" s="967">
        <f>'March Midyear Adjustment'!M85</f>
        <v>487882.84159864543</v>
      </c>
      <c r="V8" s="956">
        <f>S8+T8+U8</f>
        <v>44034697.35137007</v>
      </c>
      <c r="W8" s="1160">
        <f>-'[22]RSD - Orleans'!$C7</f>
        <v>-1333780</v>
      </c>
      <c r="X8" s="967">
        <f>V8+W8</f>
        <v>42700917.35137007</v>
      </c>
      <c r="Y8" s="638">
        <f>'[13]Audit Adjs_09-10 BL_TOTAL'!$E$91</f>
        <v>0</v>
      </c>
      <c r="Z8" s="638">
        <f>'[14]Audit Adjs - TOTAL'!$F$92</f>
        <v>-578985.2481717644</v>
      </c>
      <c r="AA8" s="638">
        <f>SUM(Y8:Z8)</f>
        <v>-578985.2481717644</v>
      </c>
      <c r="AB8" s="956">
        <f>X8+Z8+Y8</f>
        <v>42121932.103198305</v>
      </c>
      <c r="AC8" s="455"/>
      <c r="AD8" s="455"/>
      <c r="AE8" s="456"/>
    </row>
    <row r="9" spans="2:31" ht="8.25" customHeight="1">
      <c r="B9" s="961"/>
      <c r="C9" s="962"/>
      <c r="D9" s="963"/>
      <c r="E9" s="997"/>
      <c r="F9" s="964"/>
      <c r="G9" s="965"/>
      <c r="H9" s="964"/>
      <c r="I9" s="997"/>
      <c r="J9" s="964"/>
      <c r="K9" s="962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4"/>
      <c r="Y9" s="964"/>
      <c r="Z9" s="964"/>
      <c r="AA9" s="964"/>
      <c r="AB9" s="966"/>
      <c r="AC9" s="455"/>
      <c r="AD9" s="455"/>
      <c r="AE9" s="456"/>
    </row>
    <row r="10" spans="2:31" ht="21" customHeight="1">
      <c r="B10" s="643" t="s">
        <v>278</v>
      </c>
      <c r="C10" s="644"/>
      <c r="D10" s="638"/>
      <c r="E10" s="638"/>
      <c r="F10" s="638"/>
      <c r="G10" s="639"/>
      <c r="H10" s="638"/>
      <c r="I10" s="638"/>
      <c r="J10" s="638"/>
      <c r="K10" s="640"/>
      <c r="L10" s="641"/>
      <c r="M10" s="638"/>
      <c r="N10" s="638"/>
      <c r="O10" s="638"/>
      <c r="P10" s="638"/>
      <c r="Q10" s="638"/>
      <c r="R10" s="638"/>
      <c r="S10" s="956"/>
      <c r="T10" s="967"/>
      <c r="U10" s="967"/>
      <c r="V10" s="956"/>
      <c r="W10" s="1160"/>
      <c r="X10" s="967"/>
      <c r="Y10" s="638"/>
      <c r="Z10" s="638"/>
      <c r="AA10" s="638"/>
      <c r="AB10" s="956"/>
      <c r="AC10" s="455"/>
      <c r="AD10" s="455"/>
      <c r="AE10" s="456"/>
    </row>
    <row r="11" spans="1:31" ht="30.75" customHeight="1">
      <c r="A11" t="s">
        <v>249</v>
      </c>
      <c r="B11" s="645" t="s">
        <v>15</v>
      </c>
      <c r="C11" s="646">
        <f>'Table 8 Membership, 2.1.09'!R86</f>
        <v>319</v>
      </c>
      <c r="D11" s="641">
        <f aca="true" t="shared" si="2" ref="D11:D47">$D$2</f>
        <v>3253.87339114165</v>
      </c>
      <c r="E11" s="641">
        <f aca="true" t="shared" si="3" ref="E11:E47">ROUND(C11*D11,0)</f>
        <v>1037986</v>
      </c>
      <c r="F11" s="641">
        <f>'[2]Type 5 Charters'!D5</f>
        <v>74770</v>
      </c>
      <c r="G11" s="647">
        <f>'[5]Table 5B_RSD'!F11</f>
        <v>312</v>
      </c>
      <c r="H11" s="641">
        <f aca="true" t="shared" si="4" ref="H11:H35">F11/G11</f>
        <v>239.64743589743588</v>
      </c>
      <c r="I11" s="638">
        <f aca="true" t="shared" si="5" ref="I11:I47">H11*C11</f>
        <v>76447.53205128205</v>
      </c>
      <c r="J11" s="641">
        <f>'[2]Type 5 Charters'!F5</f>
        <v>14172</v>
      </c>
      <c r="K11" s="640">
        <f aca="true" t="shared" si="6" ref="K11:K35">G11</f>
        <v>312</v>
      </c>
      <c r="L11" s="641">
        <f aca="true" t="shared" si="7" ref="L11:L28">J11/K11</f>
        <v>45.42307692307692</v>
      </c>
      <c r="M11" s="638">
        <f aca="true" t="shared" si="8" ref="M11:M47">L11*C11</f>
        <v>14489.961538461537</v>
      </c>
      <c r="N11" s="638">
        <f aca="true" t="shared" si="9" ref="N11:N47">I11+M11</f>
        <v>90937.49358974358</v>
      </c>
      <c r="O11" s="638">
        <f>'[12]Type 5 Charters - Orleans'!D5</f>
        <v>42370</v>
      </c>
      <c r="P11" s="640">
        <f>'[9]5B1_RSD_Orleans_corrected order'!E13</f>
        <v>318</v>
      </c>
      <c r="Q11" s="638">
        <f aca="true" t="shared" si="10" ref="Q11:Q42">O11/P11</f>
        <v>133.23899371069183</v>
      </c>
      <c r="R11" s="638">
        <f aca="true" t="shared" si="11" ref="R11:R47">Q11*C11</f>
        <v>42503.23899371069</v>
      </c>
      <c r="S11" s="956">
        <f aca="true" t="shared" si="12" ref="S11:S47">E11+N11+R11</f>
        <v>1171426.732583454</v>
      </c>
      <c r="T11" s="967">
        <f>'Dec Midyear Adjustment'!O87</f>
        <v>198297.87647433413</v>
      </c>
      <c r="U11" s="967">
        <f>'March Midyear Adjustment'!M87</f>
        <v>0</v>
      </c>
      <c r="V11" s="956">
        <f aca="true" t="shared" si="13" ref="V11:V47">S11+T11+U11</f>
        <v>1369724.6090577883</v>
      </c>
      <c r="W11" s="1160">
        <f>-'[22]RSD - Orleans'!$C9</f>
        <v>-35808</v>
      </c>
      <c r="X11" s="967">
        <f aca="true" t="shared" si="14" ref="X11:X47">V11+W11</f>
        <v>1333916.6090577883</v>
      </c>
      <c r="Y11" s="641">
        <f>'[13]Audit Adjs_09-10 BL_TOTAL'!E94</f>
        <v>0</v>
      </c>
      <c r="Z11" s="641">
        <f>'[14]Audit Adjs - TOTAL'!F95</f>
        <v>0</v>
      </c>
      <c r="AA11" s="641">
        <f>SUM(Y11:Z11)</f>
        <v>0</v>
      </c>
      <c r="AB11" s="957">
        <f aca="true" t="shared" si="15" ref="AB11:AB47">X11+Z11+Y11</f>
        <v>1333916.6090577883</v>
      </c>
      <c r="AC11" s="455"/>
      <c r="AD11" s="455"/>
      <c r="AE11" s="456"/>
    </row>
    <row r="12" spans="1:31" ht="30.75" customHeight="1">
      <c r="A12" t="s">
        <v>248</v>
      </c>
      <c r="B12" s="645" t="s">
        <v>16</v>
      </c>
      <c r="C12" s="646">
        <f>'Table 8 Membership, 2.1.09'!R87</f>
        <v>350</v>
      </c>
      <c r="D12" s="641">
        <f t="shared" si="2"/>
        <v>3253.87339114165</v>
      </c>
      <c r="E12" s="641">
        <f t="shared" si="3"/>
        <v>1138856</v>
      </c>
      <c r="F12" s="641">
        <f>'[2]Type 5 Charters'!D6</f>
        <v>141308</v>
      </c>
      <c r="G12" s="647">
        <f>'[5]Table 5B_RSD'!F12</f>
        <v>536</v>
      </c>
      <c r="H12" s="641">
        <f t="shared" si="4"/>
        <v>263.63432835820896</v>
      </c>
      <c r="I12" s="638">
        <f t="shared" si="5"/>
        <v>92272.01492537314</v>
      </c>
      <c r="J12" s="641">
        <f>'[2]Type 5 Charters'!F6</f>
        <v>28344</v>
      </c>
      <c r="K12" s="640">
        <f t="shared" si="6"/>
        <v>536</v>
      </c>
      <c r="L12" s="641">
        <f t="shared" si="7"/>
        <v>52.88059701492537</v>
      </c>
      <c r="M12" s="638">
        <f t="shared" si="8"/>
        <v>18508.20895522388</v>
      </c>
      <c r="N12" s="638">
        <f t="shared" si="9"/>
        <v>110780.22388059701</v>
      </c>
      <c r="O12" s="638">
        <f>'[12]Type 5 Charters - Orleans'!D6</f>
        <v>83447</v>
      </c>
      <c r="P12" s="640">
        <f>'[9]5B1_RSD_Orleans_corrected order'!E14</f>
        <v>601</v>
      </c>
      <c r="Q12" s="638">
        <f t="shared" si="10"/>
        <v>138.846921797005</v>
      </c>
      <c r="R12" s="638">
        <f t="shared" si="11"/>
        <v>48596.42262895175</v>
      </c>
      <c r="S12" s="956">
        <f t="shared" si="12"/>
        <v>1298232.6465095486</v>
      </c>
      <c r="T12" s="967">
        <f>'Dec Midyear Adjustment'!O88</f>
        <v>281901.878111696</v>
      </c>
      <c r="U12" s="967">
        <f>'March Midyear Adjustment'!M88</f>
        <v>0</v>
      </c>
      <c r="V12" s="956">
        <f t="shared" si="13"/>
        <v>1580134.5246212445</v>
      </c>
      <c r="W12" s="1160">
        <f>-'[22]RSD - Orleans'!$C10</f>
        <v>-39685</v>
      </c>
      <c r="X12" s="967">
        <f t="shared" si="14"/>
        <v>1540449.5246212445</v>
      </c>
      <c r="Y12" s="641">
        <f>'[13]Audit Adjs_09-10 BL_TOTAL'!E95</f>
        <v>0</v>
      </c>
      <c r="Z12" s="641">
        <f>'[14]Audit Adjs - TOTAL'!F96</f>
        <v>-1233.1869158878505</v>
      </c>
      <c r="AA12" s="641">
        <f aca="true" t="shared" si="16" ref="AA12:AA42">SUM(Y12:Z12)</f>
        <v>-1233.1869158878505</v>
      </c>
      <c r="AB12" s="957">
        <f t="shared" si="15"/>
        <v>1539216.3377053568</v>
      </c>
      <c r="AC12" s="455"/>
      <c r="AD12" s="455"/>
      <c r="AE12" s="456"/>
    </row>
    <row r="13" spans="1:31" ht="30.75" customHeight="1">
      <c r="A13" t="s">
        <v>250</v>
      </c>
      <c r="B13" s="645" t="s">
        <v>14</v>
      </c>
      <c r="C13" s="646">
        <f>'Table 8 Membership, 2.1.09'!R88</f>
        <v>696</v>
      </c>
      <c r="D13" s="641">
        <f t="shared" si="2"/>
        <v>3253.87339114165</v>
      </c>
      <c r="E13" s="641">
        <f t="shared" si="3"/>
        <v>2264696</v>
      </c>
      <c r="F13" s="641">
        <f>'[2]Type 5 Charters'!D7</f>
        <v>130155</v>
      </c>
      <c r="G13" s="647">
        <f>'[5]Table 5B_RSD'!F13</f>
        <v>637</v>
      </c>
      <c r="H13" s="641">
        <f t="shared" si="4"/>
        <v>204.3249607535322</v>
      </c>
      <c r="I13" s="638">
        <f t="shared" si="5"/>
        <v>142210.1726844584</v>
      </c>
      <c r="J13" s="641">
        <f>'[2]Type 5 Charters'!F7</f>
        <v>33460</v>
      </c>
      <c r="K13" s="640">
        <f t="shared" si="6"/>
        <v>637</v>
      </c>
      <c r="L13" s="641">
        <f t="shared" si="7"/>
        <v>52.527472527472526</v>
      </c>
      <c r="M13" s="638">
        <f t="shared" si="8"/>
        <v>36559.12087912088</v>
      </c>
      <c r="N13" s="638">
        <f t="shared" si="9"/>
        <v>178769.29356357927</v>
      </c>
      <c r="O13" s="638">
        <f>'[12]Type 5 Charters - Orleans'!D7</f>
        <v>57670</v>
      </c>
      <c r="P13" s="640">
        <f>'[9]5B1_RSD_Orleans_corrected order'!E15</f>
        <v>709</v>
      </c>
      <c r="Q13" s="638">
        <f t="shared" si="10"/>
        <v>81.33991537376586</v>
      </c>
      <c r="R13" s="638">
        <f t="shared" si="11"/>
        <v>56612.58110014104</v>
      </c>
      <c r="S13" s="956">
        <f t="shared" si="12"/>
        <v>2500077.8746637204</v>
      </c>
      <c r="T13" s="967">
        <f>'Dec Midyear Adjustment'!O89</f>
        <v>0</v>
      </c>
      <c r="U13" s="967">
        <f>'March Midyear Adjustment'!M89</f>
        <v>34124.62452806599</v>
      </c>
      <c r="V13" s="956">
        <f t="shared" si="13"/>
        <v>2534202.499191786</v>
      </c>
      <c r="W13" s="1160">
        <f>-'[22]RSD - Orleans'!$C11</f>
        <v>-76423</v>
      </c>
      <c r="X13" s="967">
        <f t="shared" si="14"/>
        <v>2457779.499191786</v>
      </c>
      <c r="Y13" s="641">
        <f>'[13]Audit Adjs_09-10 BL_TOTAL'!E96</f>
        <v>-2186.64</v>
      </c>
      <c r="Z13" s="641">
        <f>'[14]Audit Adjs - TOTAL'!F97</f>
        <v>0</v>
      </c>
      <c r="AA13" s="641">
        <f t="shared" si="16"/>
        <v>-2186.64</v>
      </c>
      <c r="AB13" s="957">
        <f t="shared" si="15"/>
        <v>2455592.859191786</v>
      </c>
      <c r="AC13" s="455"/>
      <c r="AD13" s="455"/>
      <c r="AE13" s="456"/>
    </row>
    <row r="14" spans="1:31" ht="30.75" customHeight="1">
      <c r="A14" t="s">
        <v>251</v>
      </c>
      <c r="B14" s="645" t="s">
        <v>13</v>
      </c>
      <c r="C14" s="646">
        <f>'Table 8 Membership, 2.1.09'!R89</f>
        <v>558</v>
      </c>
      <c r="D14" s="641">
        <f t="shared" si="2"/>
        <v>3253.87339114165</v>
      </c>
      <c r="E14" s="641">
        <f t="shared" si="3"/>
        <v>1815661</v>
      </c>
      <c r="F14" s="641">
        <f>'[2]Type 5 Charters'!D8</f>
        <v>108000</v>
      </c>
      <c r="G14" s="647">
        <f>'[5]Table 5B_RSD'!F14</f>
        <v>453</v>
      </c>
      <c r="H14" s="641">
        <f t="shared" si="4"/>
        <v>238.41059602649005</v>
      </c>
      <c r="I14" s="638">
        <f t="shared" si="5"/>
        <v>133033.11258278144</v>
      </c>
      <c r="J14" s="641">
        <f>'[2]Type 5 Charters'!F8</f>
        <v>37749</v>
      </c>
      <c r="K14" s="640">
        <f t="shared" si="6"/>
        <v>453</v>
      </c>
      <c r="L14" s="641">
        <f t="shared" si="7"/>
        <v>83.33112582781457</v>
      </c>
      <c r="M14" s="638">
        <f t="shared" si="8"/>
        <v>46498.768211920535</v>
      </c>
      <c r="N14" s="638">
        <f t="shared" si="9"/>
        <v>179531.88079470198</v>
      </c>
      <c r="O14" s="638">
        <f>'[12]Type 5 Charters - Orleans'!D8</f>
        <v>49432</v>
      </c>
      <c r="P14" s="640">
        <f>'[9]5B1_RSD_Orleans_corrected order'!E16</f>
        <v>567</v>
      </c>
      <c r="Q14" s="638">
        <f t="shared" si="10"/>
        <v>87.18165784832452</v>
      </c>
      <c r="R14" s="638">
        <f t="shared" si="11"/>
        <v>48647.36507936508</v>
      </c>
      <c r="S14" s="956">
        <f t="shared" si="12"/>
        <v>2043840.245874067</v>
      </c>
      <c r="T14" s="967">
        <f>'Dec Midyear Adjustment'!O90</f>
        <v>230756.19656318956</v>
      </c>
      <c r="U14" s="967">
        <f>'March Midyear Adjustment'!M90</f>
        <v>0</v>
      </c>
      <c r="V14" s="956">
        <f t="shared" si="13"/>
        <v>2274596.4424372567</v>
      </c>
      <c r="W14" s="1160">
        <f>-'[22]RSD - Orleans'!$C12</f>
        <v>-62477</v>
      </c>
      <c r="X14" s="967">
        <f t="shared" si="14"/>
        <v>2212119.4424372567</v>
      </c>
      <c r="Y14" s="641">
        <f>'[13]Audit Adjs_09-10 BL_TOTAL'!E97</f>
        <v>0</v>
      </c>
      <c r="Z14" s="641">
        <f>'[14]Audit Adjs - TOTAL'!F98</f>
        <v>0</v>
      </c>
      <c r="AA14" s="641">
        <f t="shared" si="16"/>
        <v>0</v>
      </c>
      <c r="AB14" s="957">
        <f t="shared" si="15"/>
        <v>2212119.4424372567</v>
      </c>
      <c r="AC14" s="455"/>
      <c r="AD14" s="455"/>
      <c r="AE14" s="456"/>
    </row>
    <row r="15" spans="1:31" ht="30.75" customHeight="1">
      <c r="A15" t="s">
        <v>270</v>
      </c>
      <c r="B15" s="645" t="s">
        <v>12</v>
      </c>
      <c r="C15" s="646">
        <f>'Table 8 Membership, 2.1.09'!R91</f>
        <v>339</v>
      </c>
      <c r="D15" s="641">
        <f t="shared" si="2"/>
        <v>3253.87339114165</v>
      </c>
      <c r="E15" s="641">
        <f t="shared" si="3"/>
        <v>1103063</v>
      </c>
      <c r="F15" s="641">
        <f>'[2]Type 5 Charters'!D10</f>
        <v>65077</v>
      </c>
      <c r="G15" s="647">
        <f>'[5]Table 5B_RSD'!F16</f>
        <v>400</v>
      </c>
      <c r="H15" s="641">
        <f t="shared" si="4"/>
        <v>162.6925</v>
      </c>
      <c r="I15" s="638">
        <f t="shared" si="5"/>
        <v>55152.7575</v>
      </c>
      <c r="J15" s="641">
        <f>'[2]Type 5 Charters'!F10</f>
        <v>16534</v>
      </c>
      <c r="K15" s="640">
        <f t="shared" si="6"/>
        <v>400</v>
      </c>
      <c r="L15" s="641">
        <f t="shared" si="7"/>
        <v>41.335</v>
      </c>
      <c r="M15" s="638">
        <f t="shared" si="8"/>
        <v>14012.565</v>
      </c>
      <c r="N15" s="638">
        <f t="shared" si="9"/>
        <v>69165.3225</v>
      </c>
      <c r="O15" s="638">
        <f>'[12]Type 5 Charters - Orleans'!D10</f>
        <v>29424</v>
      </c>
      <c r="P15" s="640">
        <f>'[9]5B1_RSD_Orleans_corrected order'!E18</f>
        <v>351</v>
      </c>
      <c r="Q15" s="638">
        <f t="shared" si="10"/>
        <v>83.82905982905983</v>
      </c>
      <c r="R15" s="638">
        <f t="shared" si="11"/>
        <v>28418.05128205128</v>
      </c>
      <c r="S15" s="956">
        <f t="shared" si="12"/>
        <v>1200646.3737820513</v>
      </c>
      <c r="T15" s="967">
        <f>'Dec Midyear Adjustment'!O91</f>
        <v>116877.08838203343</v>
      </c>
      <c r="U15" s="967">
        <f>'March Midyear Adjustment'!M91</f>
        <v>0</v>
      </c>
      <c r="V15" s="956">
        <f t="shared" si="13"/>
        <v>1317523.4621640847</v>
      </c>
      <c r="W15" s="1160">
        <f>-'[22]RSD - Orleans'!$C13</f>
        <v>-36702</v>
      </c>
      <c r="X15" s="967">
        <f t="shared" si="14"/>
        <v>1280821.4621640847</v>
      </c>
      <c r="Y15" s="641">
        <f>'[13]Audit Adjs_09-10 BL_TOTAL'!E99</f>
        <v>0</v>
      </c>
      <c r="Z15" s="641">
        <f>'[14]Audit Adjs - TOTAL'!F100</f>
        <v>0</v>
      </c>
      <c r="AA15" s="641">
        <f t="shared" si="16"/>
        <v>0</v>
      </c>
      <c r="AB15" s="957">
        <f t="shared" si="15"/>
        <v>1280821.4621640847</v>
      </c>
      <c r="AC15" s="455"/>
      <c r="AD15" s="455"/>
      <c r="AE15" s="456"/>
    </row>
    <row r="16" spans="1:31" ht="30.75" customHeight="1">
      <c r="A16" t="s">
        <v>271</v>
      </c>
      <c r="B16" s="645" t="s">
        <v>11</v>
      </c>
      <c r="C16" s="646">
        <f>'Table 8 Membership, 2.1.09'!R92</f>
        <v>704</v>
      </c>
      <c r="D16" s="641">
        <f t="shared" si="2"/>
        <v>3253.87339114165</v>
      </c>
      <c r="E16" s="641">
        <f t="shared" si="3"/>
        <v>2290727</v>
      </c>
      <c r="F16" s="641">
        <f>'[2]Type 5 Charters'!D11</f>
        <v>185540</v>
      </c>
      <c r="G16" s="647">
        <f>'[5]Table 5B_RSD'!F17</f>
        <v>574</v>
      </c>
      <c r="H16" s="641">
        <f t="shared" si="4"/>
        <v>323.2404181184669</v>
      </c>
      <c r="I16" s="638">
        <f t="shared" si="5"/>
        <v>227561.25435540068</v>
      </c>
      <c r="J16" s="641">
        <f>'[2]Type 5 Charters'!F11</f>
        <v>13356</v>
      </c>
      <c r="K16" s="640">
        <f t="shared" si="6"/>
        <v>574</v>
      </c>
      <c r="L16" s="641">
        <f t="shared" si="7"/>
        <v>23.26829268292683</v>
      </c>
      <c r="M16" s="638">
        <f t="shared" si="8"/>
        <v>16380.878048780489</v>
      </c>
      <c r="N16" s="638">
        <f t="shared" si="9"/>
        <v>243942.13240418117</v>
      </c>
      <c r="O16" s="638">
        <f>'[12]Type 5 Charters - Orleans'!D11</f>
        <v>81562</v>
      </c>
      <c r="P16" s="640">
        <f>'[9]5B1_RSD_Orleans_corrected order'!E19</f>
        <v>691</v>
      </c>
      <c r="Q16" s="638">
        <f t="shared" si="10"/>
        <v>118.03473227206946</v>
      </c>
      <c r="R16" s="638">
        <f t="shared" si="11"/>
        <v>83096.4515195369</v>
      </c>
      <c r="S16" s="956">
        <f t="shared" si="12"/>
        <v>2617765.583923718</v>
      </c>
      <c r="T16" s="967">
        <f>'Dec Midyear Adjustment'!O92</f>
        <v>126426.17236331383</v>
      </c>
      <c r="U16" s="967">
        <f>'March Midyear Adjustment'!M92</f>
        <v>0</v>
      </c>
      <c r="V16" s="956">
        <f t="shared" si="13"/>
        <v>2744191.756287032</v>
      </c>
      <c r="W16" s="1160">
        <f>-'[22]RSD - Orleans'!$C14</f>
        <v>-80021</v>
      </c>
      <c r="X16" s="967">
        <f t="shared" si="14"/>
        <v>2664170.756287032</v>
      </c>
      <c r="Y16" s="641">
        <f>'[13]Audit Adjs_09-10 BL_TOTAL'!E100</f>
        <v>-460.68000000000006</v>
      </c>
      <c r="Z16" s="641">
        <f>'[14]Audit Adjs - TOTAL'!F101</f>
        <v>-451.95338858044306</v>
      </c>
      <c r="AA16" s="641">
        <f t="shared" si="16"/>
        <v>-912.6333885804431</v>
      </c>
      <c r="AB16" s="957">
        <f t="shared" si="15"/>
        <v>2663258.122898451</v>
      </c>
      <c r="AC16" s="455"/>
      <c r="AD16" s="455"/>
      <c r="AE16" s="456"/>
    </row>
    <row r="17" spans="1:31" ht="30.75" customHeight="1">
      <c r="A17" t="s">
        <v>263</v>
      </c>
      <c r="B17" s="645" t="s">
        <v>10</v>
      </c>
      <c r="C17" s="646">
        <f>'Table 8 Membership, 2.1.09'!R93</f>
        <v>387</v>
      </c>
      <c r="D17" s="641">
        <f t="shared" si="2"/>
        <v>3253.87339114165</v>
      </c>
      <c r="E17" s="641">
        <f t="shared" si="3"/>
        <v>1259249</v>
      </c>
      <c r="F17" s="641">
        <f>'[2]Type 5 Charters'!D12</f>
        <v>108001</v>
      </c>
      <c r="G17" s="647">
        <f>'[5]Table 5B_RSD'!F18</f>
        <v>437</v>
      </c>
      <c r="H17" s="641">
        <f t="shared" si="4"/>
        <v>247.14187643020594</v>
      </c>
      <c r="I17" s="638">
        <f t="shared" si="5"/>
        <v>95643.9061784897</v>
      </c>
      <c r="J17" s="641">
        <f>'[2]Type 5 Charters'!F12</f>
        <v>17715</v>
      </c>
      <c r="K17" s="640">
        <f t="shared" si="6"/>
        <v>437</v>
      </c>
      <c r="L17" s="641">
        <f t="shared" si="7"/>
        <v>40.53775743707094</v>
      </c>
      <c r="M17" s="638">
        <f t="shared" si="8"/>
        <v>15688.112128146453</v>
      </c>
      <c r="N17" s="638">
        <f t="shared" si="9"/>
        <v>111332.01830663616</v>
      </c>
      <c r="O17" s="638">
        <f>'[12]Type 5 Charters - Orleans'!D12</f>
        <v>43547</v>
      </c>
      <c r="P17" s="640">
        <f>'[9]5B1_RSD_Orleans_corrected order'!E20</f>
        <v>365</v>
      </c>
      <c r="Q17" s="638">
        <f t="shared" si="10"/>
        <v>119.30684931506849</v>
      </c>
      <c r="R17" s="638">
        <f t="shared" si="11"/>
        <v>46171.7506849315</v>
      </c>
      <c r="S17" s="956">
        <f t="shared" si="12"/>
        <v>1416752.7689915677</v>
      </c>
      <c r="T17" s="967">
        <f>'Dec Midyear Adjustment'!O93</f>
        <v>161077.8344702558</v>
      </c>
      <c r="U17" s="967">
        <f>'March Midyear Adjustment'!M93</f>
        <v>0</v>
      </c>
      <c r="V17" s="956">
        <f t="shared" si="13"/>
        <v>1577830.6034618234</v>
      </c>
      <c r="W17" s="1160">
        <f>-'[22]RSD - Orleans'!$C15</f>
        <v>-43308</v>
      </c>
      <c r="X17" s="967">
        <f t="shared" si="14"/>
        <v>1534522.6034618234</v>
      </c>
      <c r="Y17" s="641">
        <f>'[13]Audit Adjs_09-10 BL_TOTAL'!E101</f>
        <v>0</v>
      </c>
      <c r="Z17" s="641">
        <f>'[14]Audit Adjs - TOTAL'!F102</f>
        <v>-6322.091003546402</v>
      </c>
      <c r="AA17" s="641">
        <f t="shared" si="16"/>
        <v>-6322.091003546402</v>
      </c>
      <c r="AB17" s="957">
        <f t="shared" si="15"/>
        <v>1528200.512458277</v>
      </c>
      <c r="AC17" s="455"/>
      <c r="AD17" s="455"/>
      <c r="AE17" s="456"/>
    </row>
    <row r="18" spans="1:31" ht="30.75" customHeight="1">
      <c r="A18" t="s">
        <v>264</v>
      </c>
      <c r="B18" s="645" t="s">
        <v>9</v>
      </c>
      <c r="C18" s="646">
        <f>'Table 8 Membership, 2.1.09'!R94</f>
        <v>840</v>
      </c>
      <c r="D18" s="641">
        <f t="shared" si="2"/>
        <v>3253.87339114165</v>
      </c>
      <c r="E18" s="641">
        <f t="shared" si="3"/>
        <v>2733254</v>
      </c>
      <c r="F18" s="641">
        <f>'[2]Type 5 Charters'!D13</f>
        <v>157847</v>
      </c>
      <c r="G18" s="647">
        <f>'[5]Table 5B_RSD'!F19</f>
        <v>861</v>
      </c>
      <c r="H18" s="641">
        <f t="shared" si="4"/>
        <v>183.32984901277584</v>
      </c>
      <c r="I18" s="638">
        <f t="shared" si="5"/>
        <v>153997.07317073172</v>
      </c>
      <c r="J18" s="641">
        <f>'[2]Type 5 Charters'!F13</f>
        <v>31887</v>
      </c>
      <c r="K18" s="640">
        <f t="shared" si="6"/>
        <v>861</v>
      </c>
      <c r="L18" s="641">
        <f t="shared" si="7"/>
        <v>37.034843205574916</v>
      </c>
      <c r="M18" s="638">
        <f t="shared" si="8"/>
        <v>31109.26829268293</v>
      </c>
      <c r="N18" s="638">
        <f t="shared" si="9"/>
        <v>185106.34146341466</v>
      </c>
      <c r="O18" s="638">
        <f>'[12]Type 5 Charters - Orleans'!D13</f>
        <v>50609</v>
      </c>
      <c r="P18" s="640">
        <f>'[9]5B1_RSD_Orleans_corrected order'!E21</f>
        <v>853</v>
      </c>
      <c r="Q18" s="638">
        <f t="shared" si="10"/>
        <v>59.33059788980071</v>
      </c>
      <c r="R18" s="638">
        <f t="shared" si="11"/>
        <v>49837.702227432594</v>
      </c>
      <c r="S18" s="956">
        <f t="shared" si="12"/>
        <v>2968198.0436908472</v>
      </c>
      <c r="T18" s="967">
        <f>'Dec Midyear Adjustment'!O94</f>
        <v>60070.66758124662</v>
      </c>
      <c r="U18" s="967">
        <f>'March Midyear Adjustment'!M94</f>
        <v>0</v>
      </c>
      <c r="V18" s="956">
        <f t="shared" si="13"/>
        <v>3028268.711272094</v>
      </c>
      <c r="W18" s="1160">
        <f>-'[22]RSD - Orleans'!$C16</f>
        <v>-90733</v>
      </c>
      <c r="X18" s="967">
        <f t="shared" si="14"/>
        <v>2937535.711272094</v>
      </c>
      <c r="Y18" s="641">
        <f>'[13]Audit Adjs_09-10 BL_TOTAL'!E102</f>
        <v>94581.68</v>
      </c>
      <c r="Z18" s="641">
        <f>'[14]Audit Adjs - TOTAL'!F103</f>
        <v>-6959.23976407144</v>
      </c>
      <c r="AA18" s="641">
        <f t="shared" si="16"/>
        <v>87622.44023592856</v>
      </c>
      <c r="AB18" s="957">
        <f t="shared" si="15"/>
        <v>3025158.1515080226</v>
      </c>
      <c r="AC18" s="455"/>
      <c r="AD18" s="455"/>
      <c r="AE18" s="456"/>
    </row>
    <row r="19" spans="1:31" ht="30.75" customHeight="1">
      <c r="A19" t="s">
        <v>265</v>
      </c>
      <c r="B19" s="645" t="s">
        <v>8</v>
      </c>
      <c r="C19" s="646">
        <f>'Table 8 Membership, 2.1.09'!R95</f>
        <v>472</v>
      </c>
      <c r="D19" s="641">
        <f t="shared" si="2"/>
        <v>3253.87339114165</v>
      </c>
      <c r="E19" s="641">
        <f t="shared" si="3"/>
        <v>1535828</v>
      </c>
      <c r="F19" s="641">
        <f>'[2]Type 5 Charters'!D14</f>
        <v>146770</v>
      </c>
      <c r="G19" s="647">
        <f>'[5]Table 5B_RSD'!F20</f>
        <v>376</v>
      </c>
      <c r="H19" s="641">
        <f t="shared" si="4"/>
        <v>390.34574468085106</v>
      </c>
      <c r="I19" s="638">
        <f t="shared" si="5"/>
        <v>184243.1914893617</v>
      </c>
      <c r="J19" s="641">
        <f>'[2]Type 5 Charters'!F14</f>
        <v>49602</v>
      </c>
      <c r="K19" s="640">
        <f t="shared" si="6"/>
        <v>376</v>
      </c>
      <c r="L19" s="641">
        <f t="shared" si="7"/>
        <v>131.92021276595744</v>
      </c>
      <c r="M19" s="638">
        <f t="shared" si="8"/>
        <v>62266.34042553191</v>
      </c>
      <c r="N19" s="638">
        <f t="shared" si="9"/>
        <v>246509.5319148936</v>
      </c>
      <c r="O19" s="638">
        <f>'[12]Type 5 Charters - Orleans'!D14</f>
        <v>80032</v>
      </c>
      <c r="P19" s="640">
        <f>'[9]5B1_RSD_Orleans_corrected order'!E22</f>
        <v>474</v>
      </c>
      <c r="Q19" s="638">
        <f t="shared" si="10"/>
        <v>168.8438818565401</v>
      </c>
      <c r="R19" s="638">
        <f t="shared" si="11"/>
        <v>79694.31223628692</v>
      </c>
      <c r="S19" s="956">
        <f t="shared" si="12"/>
        <v>1862031.8441511805</v>
      </c>
      <c r="T19" s="967">
        <f>'Dec Midyear Adjustment'!O95</f>
        <v>240643.9770571449</v>
      </c>
      <c r="U19" s="967">
        <f>'March Midyear Adjustment'!M95</f>
        <v>19724.916152224992</v>
      </c>
      <c r="V19" s="956">
        <f t="shared" si="13"/>
        <v>2122400.73736055</v>
      </c>
      <c r="W19" s="1160">
        <f>-'[22]RSD - Orleans'!$C17</f>
        <v>-56919</v>
      </c>
      <c r="X19" s="967">
        <f t="shared" si="14"/>
        <v>2065481.73736055</v>
      </c>
      <c r="Y19" s="641">
        <f>'[13]Audit Adjs_09-10 BL_TOTAL'!E103</f>
        <v>0</v>
      </c>
      <c r="Z19" s="641">
        <f>'[14]Audit Adjs - TOTAL'!F104</f>
        <v>-1684.8975511137087</v>
      </c>
      <c r="AA19" s="641">
        <f t="shared" si="16"/>
        <v>-1684.8975511137087</v>
      </c>
      <c r="AB19" s="957">
        <f t="shared" si="15"/>
        <v>2063796.8398094364</v>
      </c>
      <c r="AC19" s="455"/>
      <c r="AD19" s="455"/>
      <c r="AE19" s="456"/>
    </row>
    <row r="20" spans="1:31" ht="30.75" customHeight="1">
      <c r="A20" t="s">
        <v>266</v>
      </c>
      <c r="B20" s="645" t="s">
        <v>7</v>
      </c>
      <c r="C20" s="646">
        <f>'Table 8 Membership, 2.1.09'!R96</f>
        <v>395</v>
      </c>
      <c r="D20" s="641">
        <f t="shared" si="2"/>
        <v>3253.87339114165</v>
      </c>
      <c r="E20" s="641">
        <f t="shared" si="3"/>
        <v>1285280</v>
      </c>
      <c r="F20" s="641">
        <f>'[2]Type 5 Charters'!D15</f>
        <v>96924</v>
      </c>
      <c r="G20" s="647">
        <f>'[5]Table 5B_RSD'!F21</f>
        <v>391</v>
      </c>
      <c r="H20" s="641">
        <f t="shared" si="4"/>
        <v>247.88746803069054</v>
      </c>
      <c r="I20" s="638">
        <f t="shared" si="5"/>
        <v>97915.54987212276</v>
      </c>
      <c r="J20" s="641">
        <f>'[2]Type 5 Charters'!F15</f>
        <v>21258</v>
      </c>
      <c r="K20" s="640">
        <f t="shared" si="6"/>
        <v>391</v>
      </c>
      <c r="L20" s="641">
        <f t="shared" si="7"/>
        <v>54.368286445012785</v>
      </c>
      <c r="M20" s="638">
        <f t="shared" si="8"/>
        <v>21475.47314578005</v>
      </c>
      <c r="N20" s="638">
        <f t="shared" si="9"/>
        <v>119391.02301790281</v>
      </c>
      <c r="O20" s="638">
        <f>'[12]Type 5 Charters - Orleans'!D15</f>
        <v>57670</v>
      </c>
      <c r="P20" s="640">
        <f>'[9]5B1_RSD_Orleans_corrected order'!E23</f>
        <v>393</v>
      </c>
      <c r="Q20" s="638">
        <f t="shared" si="10"/>
        <v>146.74300254452928</v>
      </c>
      <c r="R20" s="638">
        <f t="shared" si="11"/>
        <v>57963.486005089064</v>
      </c>
      <c r="S20" s="956">
        <f t="shared" si="12"/>
        <v>1462634.5090229919</v>
      </c>
      <c r="T20" s="967">
        <f>'Dec Midyear Adjustment'!O96</f>
        <v>59245.954370590116</v>
      </c>
      <c r="U20" s="967">
        <f>'March Midyear Adjustment'!M96</f>
        <v>0</v>
      </c>
      <c r="V20" s="956">
        <f t="shared" si="13"/>
        <v>1521880.463393582</v>
      </c>
      <c r="W20" s="1160">
        <f>-'[22]RSD - Orleans'!$C18</f>
        <v>-44710</v>
      </c>
      <c r="X20" s="967">
        <f t="shared" si="14"/>
        <v>1477170.463393582</v>
      </c>
      <c r="Y20" s="641">
        <f>'[13]Audit Adjs_09-10 BL_TOTAL'!E104</f>
        <v>0</v>
      </c>
      <c r="Z20" s="641">
        <f>'[14]Audit Adjs - TOTAL'!F105</f>
        <v>-3082.9666919000756</v>
      </c>
      <c r="AA20" s="641">
        <f t="shared" si="16"/>
        <v>-3082.9666919000756</v>
      </c>
      <c r="AB20" s="957">
        <f t="shared" si="15"/>
        <v>1474087.496701682</v>
      </c>
      <c r="AC20" s="455"/>
      <c r="AD20" s="455"/>
      <c r="AE20" s="456"/>
    </row>
    <row r="21" spans="1:31" ht="30.75" customHeight="1">
      <c r="A21" t="s">
        <v>267</v>
      </c>
      <c r="B21" s="645" t="s">
        <v>6</v>
      </c>
      <c r="C21" s="646">
        <f>'Table 8 Membership, 2.1.09'!R97</f>
        <v>542</v>
      </c>
      <c r="D21" s="641">
        <f t="shared" si="2"/>
        <v>3253.87339114165</v>
      </c>
      <c r="E21" s="641">
        <f t="shared" si="3"/>
        <v>1763599</v>
      </c>
      <c r="F21" s="641">
        <f>'[2]Type 5 Charters'!D16</f>
        <v>132924</v>
      </c>
      <c r="G21" s="647">
        <f>'[5]Table 5B_RSD'!F22</f>
        <v>523</v>
      </c>
      <c r="H21" s="641">
        <f t="shared" si="4"/>
        <v>254.1567877629063</v>
      </c>
      <c r="I21" s="638">
        <f t="shared" si="5"/>
        <v>137752.9789674952</v>
      </c>
      <c r="J21" s="641">
        <f>'[2]Type 5 Charters'!F16</f>
        <v>14172</v>
      </c>
      <c r="K21" s="640">
        <f t="shared" si="6"/>
        <v>523</v>
      </c>
      <c r="L21" s="641">
        <f t="shared" si="7"/>
        <v>27.09751434034417</v>
      </c>
      <c r="M21" s="638">
        <f t="shared" si="8"/>
        <v>14686.85277246654</v>
      </c>
      <c r="N21" s="638">
        <f t="shared" si="9"/>
        <v>152439.83173996175</v>
      </c>
      <c r="O21" s="638">
        <f>'[12]Type 5 Charters - Orleans'!D16</f>
        <v>51786</v>
      </c>
      <c r="P21" s="640">
        <f>'[9]5B1_RSD_Orleans_corrected order'!E24</f>
        <v>555</v>
      </c>
      <c r="Q21" s="638">
        <f t="shared" si="10"/>
        <v>93.30810810810812</v>
      </c>
      <c r="R21" s="638">
        <f t="shared" si="11"/>
        <v>50572.9945945946</v>
      </c>
      <c r="S21" s="956">
        <f t="shared" si="12"/>
        <v>1966611.8263345563</v>
      </c>
      <c r="T21" s="967">
        <f>'Dec Midyear Adjustment'!O97</f>
        <v>116109.94564329628</v>
      </c>
      <c r="U21" s="967">
        <f>'March Midyear Adjustment'!M97</f>
        <v>0</v>
      </c>
      <c r="V21" s="956">
        <f t="shared" si="13"/>
        <v>2082721.7719778526</v>
      </c>
      <c r="W21" s="1160">
        <f>-'[22]RSD - Orleans'!$C19</f>
        <v>-60116</v>
      </c>
      <c r="X21" s="967">
        <f t="shared" si="14"/>
        <v>2022605.7719778526</v>
      </c>
      <c r="Y21" s="641">
        <f>'[13]Audit Adjs_09-10 BL_TOTAL'!E105</f>
        <v>0</v>
      </c>
      <c r="Z21" s="641">
        <f>'[14]Audit Adjs - TOTAL'!F106</f>
        <v>0</v>
      </c>
      <c r="AA21" s="641">
        <f t="shared" si="16"/>
        <v>0</v>
      </c>
      <c r="AB21" s="957">
        <f t="shared" si="15"/>
        <v>2022605.7719778526</v>
      </c>
      <c r="AC21" s="455"/>
      <c r="AD21" s="455"/>
      <c r="AE21" s="456"/>
    </row>
    <row r="22" spans="1:31" ht="30.75" customHeight="1">
      <c r="A22" t="s">
        <v>268</v>
      </c>
      <c r="B22" s="645" t="s">
        <v>5</v>
      </c>
      <c r="C22" s="646">
        <f>'Table 8 Membership, 2.1.09'!R98</f>
        <v>584</v>
      </c>
      <c r="D22" s="641">
        <f t="shared" si="2"/>
        <v>3253.87339114165</v>
      </c>
      <c r="E22" s="641">
        <f t="shared" si="3"/>
        <v>1900262</v>
      </c>
      <c r="F22" s="641">
        <f>'[2]Type 5 Charters'!D17</f>
        <v>130155</v>
      </c>
      <c r="G22" s="647">
        <f>'[5]Table 5B_RSD'!F23</f>
        <v>486</v>
      </c>
      <c r="H22" s="641">
        <f t="shared" si="4"/>
        <v>267.80864197530866</v>
      </c>
      <c r="I22" s="638">
        <f t="shared" si="5"/>
        <v>156400.24691358025</v>
      </c>
      <c r="J22" s="641">
        <f>'[2]Type 5 Charters'!F17</f>
        <v>22439</v>
      </c>
      <c r="K22" s="640">
        <f t="shared" si="6"/>
        <v>486</v>
      </c>
      <c r="L22" s="641">
        <f t="shared" si="7"/>
        <v>46.17078189300412</v>
      </c>
      <c r="M22" s="638">
        <f t="shared" si="8"/>
        <v>26963.736625514404</v>
      </c>
      <c r="N22" s="638">
        <f t="shared" si="9"/>
        <v>183363.98353909465</v>
      </c>
      <c r="O22" s="638">
        <f>'[12]Type 5 Charters - Orleans'!D17</f>
        <v>30601</v>
      </c>
      <c r="P22" s="640">
        <f>'[9]5B1_RSD_Orleans_corrected order'!E25</f>
        <v>588</v>
      </c>
      <c r="Q22" s="638">
        <f t="shared" si="10"/>
        <v>52.04251700680272</v>
      </c>
      <c r="R22" s="638">
        <f t="shared" si="11"/>
        <v>30392.82993197279</v>
      </c>
      <c r="S22" s="956">
        <f t="shared" si="12"/>
        <v>2114018.8134710677</v>
      </c>
      <c r="T22" s="967">
        <f>'Dec Midyear Adjustment'!O98</f>
        <v>0</v>
      </c>
      <c r="U22" s="967">
        <f>'March Midyear Adjustment'!M98</f>
        <v>0</v>
      </c>
      <c r="V22" s="956">
        <f t="shared" si="13"/>
        <v>2114018.8134710677</v>
      </c>
      <c r="W22" s="1160">
        <f>-'[22]RSD - Orleans'!$C20</f>
        <v>-64622</v>
      </c>
      <c r="X22" s="967">
        <f t="shared" si="14"/>
        <v>2049396.8134710677</v>
      </c>
      <c r="Y22" s="641">
        <f>'[13]Audit Adjs_09-10 BL_TOTAL'!E106</f>
        <v>0</v>
      </c>
      <c r="Z22" s="641">
        <f>'[14]Audit Adjs - TOTAL'!F107</f>
        <v>-6165.933383800151</v>
      </c>
      <c r="AA22" s="641">
        <f t="shared" si="16"/>
        <v>-6165.933383800151</v>
      </c>
      <c r="AB22" s="957">
        <f t="shared" si="15"/>
        <v>2043230.8800872676</v>
      </c>
      <c r="AC22" s="455"/>
      <c r="AD22" s="455"/>
      <c r="AE22" s="456"/>
    </row>
    <row r="23" spans="1:31" ht="30.75" customHeight="1">
      <c r="A23" t="s">
        <v>269</v>
      </c>
      <c r="B23" s="645" t="s">
        <v>4</v>
      </c>
      <c r="C23" s="646">
        <f>'Table 8 Membership, 2.1.09'!R99</f>
        <v>254</v>
      </c>
      <c r="D23" s="641">
        <f t="shared" si="2"/>
        <v>3253.87339114165</v>
      </c>
      <c r="E23" s="641">
        <f t="shared" si="3"/>
        <v>826484</v>
      </c>
      <c r="F23" s="641">
        <f>'[2]Type 5 Charters'!D18</f>
        <v>55385</v>
      </c>
      <c r="G23" s="647">
        <f>'[5]Table 5B_RSD'!F24</f>
        <v>203</v>
      </c>
      <c r="H23" s="641">
        <f t="shared" si="4"/>
        <v>272.83251231527095</v>
      </c>
      <c r="I23" s="638">
        <f t="shared" si="5"/>
        <v>69299.45812807883</v>
      </c>
      <c r="J23" s="641">
        <f>'[2]Type 5 Charters'!F18</f>
        <v>7086</v>
      </c>
      <c r="K23" s="640">
        <f t="shared" si="6"/>
        <v>203</v>
      </c>
      <c r="L23" s="641">
        <f t="shared" si="7"/>
        <v>34.9064039408867</v>
      </c>
      <c r="M23" s="638">
        <f t="shared" si="8"/>
        <v>8866.226600985221</v>
      </c>
      <c r="N23" s="638">
        <f t="shared" si="9"/>
        <v>78165.68472906404</v>
      </c>
      <c r="O23" s="638">
        <f>'[12]Type 5 Charters - Orleans'!D18</f>
        <v>76501</v>
      </c>
      <c r="P23" s="640">
        <f>'[9]5B1_RSD_Orleans_corrected order'!E26</f>
        <v>266</v>
      </c>
      <c r="Q23" s="638">
        <f t="shared" si="10"/>
        <v>287.59774436090225</v>
      </c>
      <c r="R23" s="638">
        <f t="shared" si="11"/>
        <v>73049.82706766918</v>
      </c>
      <c r="S23" s="956">
        <f t="shared" si="12"/>
        <v>977699.5117967331</v>
      </c>
      <c r="T23" s="967">
        <f>'Dec Midyear Adjustment'!O99</f>
        <v>357976.53481355996</v>
      </c>
      <c r="U23" s="967">
        <f>'March Midyear Adjustment'!M99</f>
        <v>0</v>
      </c>
      <c r="V23" s="956">
        <f t="shared" si="13"/>
        <v>1335676.046610293</v>
      </c>
      <c r="W23" s="1160">
        <f>-'[22]RSD - Orleans'!$C21</f>
        <v>-29887</v>
      </c>
      <c r="X23" s="967">
        <f t="shared" si="14"/>
        <v>1305789.046610293</v>
      </c>
      <c r="Y23" s="641">
        <f>'[13]Audit Adjs_09-10 BL_TOTAL'!E107</f>
        <v>0</v>
      </c>
      <c r="Z23" s="641">
        <f>'[14]Audit Adjs - TOTAL'!F108</f>
        <v>-6165.933383800151</v>
      </c>
      <c r="AA23" s="641">
        <f t="shared" si="16"/>
        <v>-6165.933383800151</v>
      </c>
      <c r="AB23" s="957">
        <f t="shared" si="15"/>
        <v>1299623.113226493</v>
      </c>
      <c r="AC23" s="455"/>
      <c r="AD23" s="455"/>
      <c r="AE23" s="456"/>
    </row>
    <row r="24" spans="1:31" ht="30.75" customHeight="1">
      <c r="A24" t="s">
        <v>253</v>
      </c>
      <c r="B24" s="645" t="s">
        <v>3</v>
      </c>
      <c r="C24" s="646">
        <f>'Table 8 Membership, 2.1.09'!R100</f>
        <v>322</v>
      </c>
      <c r="D24" s="641">
        <f t="shared" si="2"/>
        <v>3253.87339114165</v>
      </c>
      <c r="E24" s="641">
        <f t="shared" si="3"/>
        <v>1047747</v>
      </c>
      <c r="F24" s="641">
        <f>'[2]Type 5 Charters'!D19</f>
        <v>84500</v>
      </c>
      <c r="G24" s="647">
        <f>'[5]Table 5B_RSD'!F25</f>
        <v>317</v>
      </c>
      <c r="H24" s="641">
        <f t="shared" si="4"/>
        <v>266.5615141955836</v>
      </c>
      <c r="I24" s="638">
        <f t="shared" si="5"/>
        <v>85832.80757097791</v>
      </c>
      <c r="J24" s="641">
        <f>'[2]Type 5 Charters'!F19</f>
        <v>19841</v>
      </c>
      <c r="K24" s="640">
        <f t="shared" si="6"/>
        <v>317</v>
      </c>
      <c r="L24" s="641">
        <f t="shared" si="7"/>
        <v>62.58990536277602</v>
      </c>
      <c r="M24" s="638">
        <f t="shared" si="8"/>
        <v>20153.949526813878</v>
      </c>
      <c r="N24" s="638">
        <f t="shared" si="9"/>
        <v>105986.7570977918</v>
      </c>
      <c r="O24" s="638">
        <f>'[12]Type 5 Charters - Orleans'!D19</f>
        <v>31166</v>
      </c>
      <c r="P24" s="640">
        <f>'[9]5B1_RSD_Orleans_corrected order'!E27</f>
        <v>311</v>
      </c>
      <c r="Q24" s="638">
        <f t="shared" si="10"/>
        <v>100.21221864951768</v>
      </c>
      <c r="R24" s="638">
        <f t="shared" si="11"/>
        <v>32268.334405144695</v>
      </c>
      <c r="S24" s="956">
        <f t="shared" si="12"/>
        <v>1186002.0915029366</v>
      </c>
      <c r="T24" s="967">
        <f>'Dec Midyear Adjustment'!O100</f>
        <v>95764.1627630877</v>
      </c>
      <c r="U24" s="967">
        <f>'March Midyear Adjustment'!M100</f>
        <v>14732.948117398108</v>
      </c>
      <c r="V24" s="956">
        <f t="shared" si="13"/>
        <v>1296499.2023834225</v>
      </c>
      <c r="W24" s="1160">
        <f>-'[22]RSD - Orleans'!$C22</f>
        <v>-36254</v>
      </c>
      <c r="X24" s="967">
        <f t="shared" si="14"/>
        <v>1260245.2023834225</v>
      </c>
      <c r="Y24" s="641">
        <f>'[13]Audit Adjs_09-10 BL_TOTAL'!E108</f>
        <v>0</v>
      </c>
      <c r="Z24" s="641">
        <f>'[14]Audit Adjs - TOTAL'!F109</f>
        <v>-0.25042951397335855</v>
      </c>
      <c r="AA24" s="641">
        <f t="shared" si="16"/>
        <v>-0.25042951397335855</v>
      </c>
      <c r="AB24" s="957">
        <f t="shared" si="15"/>
        <v>1260244.9519539087</v>
      </c>
      <c r="AC24" s="455"/>
      <c r="AD24" s="455"/>
      <c r="AE24" s="456"/>
    </row>
    <row r="25" spans="1:31" ht="30.75" customHeight="1">
      <c r="A25" t="s">
        <v>254</v>
      </c>
      <c r="B25" s="645" t="s">
        <v>2</v>
      </c>
      <c r="C25" s="646">
        <f>'Table 8 Membership, 2.1.09'!R101</f>
        <v>431</v>
      </c>
      <c r="D25" s="641">
        <f t="shared" si="2"/>
        <v>3253.87339114165</v>
      </c>
      <c r="E25" s="641">
        <f t="shared" si="3"/>
        <v>1402419</v>
      </c>
      <c r="F25" s="641">
        <f>'[2]Type 5 Charters'!D20</f>
        <v>106477</v>
      </c>
      <c r="G25" s="647">
        <f>'[5]Table 5B_RSD'!F26</f>
        <v>414</v>
      </c>
      <c r="H25" s="641">
        <f t="shared" si="4"/>
        <v>257.19082125603865</v>
      </c>
      <c r="I25" s="638">
        <f t="shared" si="5"/>
        <v>110849.24396135265</v>
      </c>
      <c r="J25" s="641">
        <f>'[2]Type 5 Charters'!F20</f>
        <v>20077</v>
      </c>
      <c r="K25" s="640">
        <f t="shared" si="6"/>
        <v>414</v>
      </c>
      <c r="L25" s="641">
        <f t="shared" si="7"/>
        <v>48.49516908212561</v>
      </c>
      <c r="M25" s="638">
        <f t="shared" si="8"/>
        <v>20901.417874396135</v>
      </c>
      <c r="N25" s="638">
        <f t="shared" si="9"/>
        <v>131750.6618357488</v>
      </c>
      <c r="O25" s="638">
        <f>'[12]Type 5 Charters - Orleans'!D20</f>
        <v>45901</v>
      </c>
      <c r="P25" s="640">
        <f>'[9]5B1_RSD_Orleans_corrected order'!E28</f>
        <v>430</v>
      </c>
      <c r="Q25" s="638">
        <f t="shared" si="10"/>
        <v>106.74651162790698</v>
      </c>
      <c r="R25" s="638">
        <f t="shared" si="11"/>
        <v>46007.74651162791</v>
      </c>
      <c r="S25" s="956">
        <f t="shared" si="12"/>
        <v>1580177.4083473766</v>
      </c>
      <c r="T25" s="967">
        <f>'Dec Midyear Adjustment'!O101</f>
        <v>29330.447144861766</v>
      </c>
      <c r="U25" s="967">
        <f>'March Midyear Adjustment'!M101</f>
        <v>0</v>
      </c>
      <c r="V25" s="956">
        <f t="shared" si="13"/>
        <v>1609507.8554922384</v>
      </c>
      <c r="W25" s="1160">
        <f>-'[22]RSD - Orleans'!$C23</f>
        <v>-48303</v>
      </c>
      <c r="X25" s="967">
        <f t="shared" si="14"/>
        <v>1561204.8554922384</v>
      </c>
      <c r="Y25" s="641">
        <f>'[13]Audit Adjs_09-10 BL_TOTAL'!E109</f>
        <v>0</v>
      </c>
      <c r="Z25" s="641">
        <f>'[14]Audit Adjs - TOTAL'!F110</f>
        <v>0</v>
      </c>
      <c r="AA25" s="641">
        <f t="shared" si="16"/>
        <v>0</v>
      </c>
      <c r="AB25" s="957">
        <f t="shared" si="15"/>
        <v>1561204.8554922384</v>
      </c>
      <c r="AC25" s="455"/>
      <c r="AD25" s="455"/>
      <c r="AE25" s="456"/>
    </row>
    <row r="26" spans="1:31" ht="30.75" customHeight="1">
      <c r="A26" t="s">
        <v>273</v>
      </c>
      <c r="B26" s="645" t="s">
        <v>1</v>
      </c>
      <c r="C26" s="646">
        <f>'Table 8 Membership, 2.1.09'!R102</f>
        <v>255</v>
      </c>
      <c r="D26" s="641">
        <f t="shared" si="2"/>
        <v>3253.87339114165</v>
      </c>
      <c r="E26" s="641">
        <f t="shared" si="3"/>
        <v>829738</v>
      </c>
      <c r="F26" s="641">
        <f>'[2]Type 5 Charters'!D21</f>
        <v>37233</v>
      </c>
      <c r="G26" s="647">
        <f>'[5]Table 5B_RSD'!F27</f>
        <v>171</v>
      </c>
      <c r="H26" s="641">
        <f t="shared" si="4"/>
        <v>217.73684210526315</v>
      </c>
      <c r="I26" s="638">
        <f t="shared" si="5"/>
        <v>55522.89473684211</v>
      </c>
      <c r="J26" s="641">
        <f>'[2]Type 5 Charters'!F21</f>
        <v>2829</v>
      </c>
      <c r="K26" s="640">
        <f t="shared" si="6"/>
        <v>171</v>
      </c>
      <c r="L26" s="641">
        <f t="shared" si="7"/>
        <v>16.54385964912281</v>
      </c>
      <c r="M26" s="638">
        <f t="shared" si="8"/>
        <v>4218.684210526316</v>
      </c>
      <c r="N26" s="638">
        <f t="shared" si="9"/>
        <v>59741.57894736842</v>
      </c>
      <c r="O26" s="638">
        <f>'[12]Type 5 Charters - Orleans'!D21</f>
        <v>24716</v>
      </c>
      <c r="P26" s="640">
        <f>'[9]5B1_RSD_Orleans_corrected order'!E29</f>
        <v>254</v>
      </c>
      <c r="Q26" s="638">
        <f t="shared" si="10"/>
        <v>97.30708661417323</v>
      </c>
      <c r="R26" s="638">
        <f t="shared" si="11"/>
        <v>24813.307086614175</v>
      </c>
      <c r="S26" s="956">
        <f t="shared" si="12"/>
        <v>914292.8860339826</v>
      </c>
      <c r="T26" s="967">
        <f>'Dec Midyear Adjustment'!O102</f>
        <v>279665.9720017963</v>
      </c>
      <c r="U26" s="967">
        <f>'March Midyear Adjustment'!M102</f>
        <v>0</v>
      </c>
      <c r="V26" s="956">
        <f t="shared" si="13"/>
        <v>1193958.8580357789</v>
      </c>
      <c r="W26" s="1160">
        <f>-'[22]RSD - Orleans'!$C24</f>
        <v>-27948</v>
      </c>
      <c r="X26" s="967">
        <f t="shared" si="14"/>
        <v>1166010.8580357789</v>
      </c>
      <c r="Y26" s="641">
        <f>'[13]Audit Adjs_09-10 BL_TOTAL'!E110</f>
        <v>0</v>
      </c>
      <c r="Z26" s="641">
        <f>'[14]Audit Adjs - TOTAL'!F111</f>
        <v>0</v>
      </c>
      <c r="AA26" s="641">
        <f t="shared" si="16"/>
        <v>0</v>
      </c>
      <c r="AB26" s="957">
        <f t="shared" si="15"/>
        <v>1166010.8580357789</v>
      </c>
      <c r="AC26" s="455"/>
      <c r="AD26" s="455"/>
      <c r="AE26" s="456"/>
    </row>
    <row r="27" spans="1:31" ht="30.75" customHeight="1">
      <c r="A27" t="s">
        <v>255</v>
      </c>
      <c r="B27" s="645" t="s">
        <v>0</v>
      </c>
      <c r="C27" s="646">
        <f>'Table 8 Membership, 2.1.09'!R103</f>
        <v>174</v>
      </c>
      <c r="D27" s="641">
        <f t="shared" si="2"/>
        <v>3253.87339114165</v>
      </c>
      <c r="E27" s="641">
        <f t="shared" si="3"/>
        <v>566174</v>
      </c>
      <c r="F27" s="641">
        <f>'[2]Type 5 Charters'!D22</f>
        <v>13868</v>
      </c>
      <c r="G27" s="647">
        <f>'[5]Table 5B_RSD'!F28</f>
        <v>87</v>
      </c>
      <c r="H27" s="641">
        <f t="shared" si="4"/>
        <v>159.4022988505747</v>
      </c>
      <c r="I27" s="638">
        <f t="shared" si="5"/>
        <v>27736</v>
      </c>
      <c r="J27" s="641">
        <f>'[2]Type 5 Charters'!F22</f>
        <v>2362</v>
      </c>
      <c r="K27" s="640">
        <f t="shared" si="6"/>
        <v>87</v>
      </c>
      <c r="L27" s="641">
        <f t="shared" si="7"/>
        <v>27.149425287356323</v>
      </c>
      <c r="M27" s="638">
        <f t="shared" si="8"/>
        <v>4724</v>
      </c>
      <c r="N27" s="638">
        <f t="shared" si="9"/>
        <v>32460</v>
      </c>
      <c r="O27" s="638">
        <f>'[12]Type 5 Charters - Orleans'!D22</f>
        <v>16477</v>
      </c>
      <c r="P27" s="640">
        <f>'[9]5B1_RSD_Orleans_corrected order'!E30</f>
        <v>176</v>
      </c>
      <c r="Q27" s="638">
        <f t="shared" si="10"/>
        <v>93.61931818181819</v>
      </c>
      <c r="R27" s="638">
        <f t="shared" si="11"/>
        <v>16289.761363636364</v>
      </c>
      <c r="S27" s="956">
        <f t="shared" si="12"/>
        <v>614923.7613636364</v>
      </c>
      <c r="T27" s="967">
        <f>'Dec Midyear Adjustment'!O103</f>
        <v>402881.0654145995</v>
      </c>
      <c r="U27" s="967">
        <f>'March Midyear Adjustment'!M103</f>
        <v>0</v>
      </c>
      <c r="V27" s="956">
        <f t="shared" si="13"/>
        <v>1017804.8267782358</v>
      </c>
      <c r="W27" s="1160">
        <f>-'[22]RSD - Orleans'!$C25</f>
        <v>-18797</v>
      </c>
      <c r="X27" s="967">
        <f t="shared" si="14"/>
        <v>999007.8267782358</v>
      </c>
      <c r="Y27" s="641">
        <f>'[13]Audit Adjs_09-10 BL_TOTAL'!E111</f>
        <v>0</v>
      </c>
      <c r="Z27" s="641">
        <f>'[14]Audit Adjs - TOTAL'!F112</f>
        <v>0</v>
      </c>
      <c r="AA27" s="641">
        <f t="shared" si="16"/>
        <v>0</v>
      </c>
      <c r="AB27" s="957">
        <f t="shared" si="15"/>
        <v>999007.8267782358</v>
      </c>
      <c r="AC27" s="455"/>
      <c r="AD27" s="455"/>
      <c r="AE27" s="456"/>
    </row>
    <row r="28" spans="1:31" ht="30.75" customHeight="1">
      <c r="A28" t="s">
        <v>252</v>
      </c>
      <c r="B28" s="645" t="s">
        <v>276</v>
      </c>
      <c r="C28" s="646">
        <f>'Table 8 Membership, 2.1.09'!R104</f>
        <v>391</v>
      </c>
      <c r="D28" s="641">
        <f t="shared" si="2"/>
        <v>3253.87339114165</v>
      </c>
      <c r="E28" s="641">
        <f t="shared" si="3"/>
        <v>1272264</v>
      </c>
      <c r="F28" s="641">
        <f>'[2]Type 5 Charters'!D23</f>
        <v>81194</v>
      </c>
      <c r="G28" s="647">
        <f>'[5]Table 5B_RSD'!F29</f>
        <v>322</v>
      </c>
      <c r="H28" s="641">
        <f t="shared" si="4"/>
        <v>252.1552795031056</v>
      </c>
      <c r="I28" s="638">
        <f t="shared" si="5"/>
        <v>98592.71428571429</v>
      </c>
      <c r="J28" s="641">
        <f>'[2]Type 5 Charters'!F23</f>
        <v>17190</v>
      </c>
      <c r="K28" s="640">
        <f t="shared" si="6"/>
        <v>322</v>
      </c>
      <c r="L28" s="641">
        <f t="shared" si="7"/>
        <v>53.38509316770186</v>
      </c>
      <c r="M28" s="638">
        <f t="shared" si="8"/>
        <v>20873.571428571428</v>
      </c>
      <c r="N28" s="638">
        <f t="shared" si="9"/>
        <v>119466.28571428571</v>
      </c>
      <c r="O28" s="638">
        <f>'[12]Type 5 Charters - Orleans'!D23</f>
        <v>54250</v>
      </c>
      <c r="P28" s="640">
        <f>'[9]5B1_RSD_Orleans_corrected order'!E31</f>
        <v>402</v>
      </c>
      <c r="Q28" s="638">
        <f t="shared" si="10"/>
        <v>134.9502487562189</v>
      </c>
      <c r="R28" s="638">
        <f t="shared" si="11"/>
        <v>52765.5472636816</v>
      </c>
      <c r="S28" s="956">
        <f t="shared" si="12"/>
        <v>1444495.8329779673</v>
      </c>
      <c r="T28" s="967">
        <f>'Dec Midyear Adjustment'!O104</f>
        <v>254911.11686723866</v>
      </c>
      <c r="U28" s="967">
        <f>'March Midyear Adjustment'!M104</f>
        <v>0</v>
      </c>
      <c r="V28" s="956">
        <f t="shared" si="13"/>
        <v>1699406.949845206</v>
      </c>
      <c r="W28" s="1160">
        <f>-'[22]RSD - Orleans'!$C26</f>
        <v>-44156</v>
      </c>
      <c r="X28" s="967">
        <f t="shared" si="14"/>
        <v>1655250.949845206</v>
      </c>
      <c r="Y28" s="641">
        <f>'[13]Audit Adjs_09-10 BL_TOTAL'!E112</f>
        <v>0</v>
      </c>
      <c r="Z28" s="641">
        <f>'[14]Audit Adjs - TOTAL'!F113</f>
        <v>0</v>
      </c>
      <c r="AA28" s="641">
        <f t="shared" si="16"/>
        <v>0</v>
      </c>
      <c r="AB28" s="957">
        <f t="shared" si="15"/>
        <v>1655250.949845206</v>
      </c>
      <c r="AC28" s="455"/>
      <c r="AD28" s="455"/>
      <c r="AE28" s="456"/>
    </row>
    <row r="29" spans="1:31" ht="30.75" customHeight="1">
      <c r="A29" t="s">
        <v>256</v>
      </c>
      <c r="B29" s="645" t="s">
        <v>725</v>
      </c>
      <c r="C29" s="648">
        <f>'Table 8 Membership, 2.1.09'!R105</f>
        <v>153</v>
      </c>
      <c r="D29" s="641">
        <f t="shared" si="2"/>
        <v>3253.87339114165</v>
      </c>
      <c r="E29" s="641">
        <f t="shared" si="3"/>
        <v>497843</v>
      </c>
      <c r="F29" s="641">
        <f>'[2]Type 5 Charters'!D24</f>
        <v>15862</v>
      </c>
      <c r="G29" s="647">
        <f>'[5]Table 5B_RSD'!F30</f>
        <v>44</v>
      </c>
      <c r="H29" s="641">
        <f t="shared" si="4"/>
        <v>360.5</v>
      </c>
      <c r="I29" s="638">
        <f t="shared" si="5"/>
        <v>55156.5</v>
      </c>
      <c r="J29" s="641">
        <f>'[2]Type 5 Charters'!F24</f>
        <v>1139</v>
      </c>
      <c r="K29" s="640">
        <f t="shared" si="6"/>
        <v>44</v>
      </c>
      <c r="L29" s="641">
        <f>J29/K29</f>
        <v>25.886363636363637</v>
      </c>
      <c r="M29" s="638">
        <f t="shared" si="8"/>
        <v>3960.6136363636365</v>
      </c>
      <c r="N29" s="638">
        <f t="shared" si="9"/>
        <v>59117.11363636364</v>
      </c>
      <c r="O29" s="638">
        <f>'[12]Type 5 Charters - Orleans'!D24</f>
        <v>15889</v>
      </c>
      <c r="P29" s="640">
        <f>'[9]5B1_RSD_Orleans_corrected order'!E32</f>
        <v>151</v>
      </c>
      <c r="Q29" s="638">
        <f t="shared" si="10"/>
        <v>105.2251655629139</v>
      </c>
      <c r="R29" s="638">
        <f t="shared" si="11"/>
        <v>16099.450331125827</v>
      </c>
      <c r="S29" s="956">
        <f t="shared" si="12"/>
        <v>573059.5639674895</v>
      </c>
      <c r="T29" s="967">
        <f>'Dec Midyear Adjustment'!O105</f>
        <v>329602.67299000156</v>
      </c>
      <c r="U29" s="967">
        <f>'March Midyear Adjustment'!M105</f>
        <v>0</v>
      </c>
      <c r="V29" s="956">
        <f t="shared" si="13"/>
        <v>902662.2369574911</v>
      </c>
      <c r="W29" s="1160">
        <f>-'[22]RSD - Orleans'!$C27</f>
        <v>-17517</v>
      </c>
      <c r="X29" s="967">
        <f t="shared" si="14"/>
        <v>885145.2369574911</v>
      </c>
      <c r="Y29" s="641">
        <f>'[13]Audit Adjs_09-10 BL_TOTAL'!E113</f>
        <v>0</v>
      </c>
      <c r="Z29" s="641">
        <f>'[14]Audit Adjs - TOTAL'!F114</f>
        <v>0</v>
      </c>
      <c r="AA29" s="641">
        <f t="shared" si="16"/>
        <v>0</v>
      </c>
      <c r="AB29" s="957">
        <f t="shared" si="15"/>
        <v>885145.2369574911</v>
      </c>
      <c r="AC29" s="455"/>
      <c r="AD29" s="455"/>
      <c r="AE29" s="456"/>
    </row>
    <row r="30" spans="1:31" ht="30.75" customHeight="1">
      <c r="A30" t="s">
        <v>262</v>
      </c>
      <c r="B30" s="645" t="s">
        <v>724</v>
      </c>
      <c r="C30" s="646">
        <f>'Table 8 Membership, 2.1.09'!R106</f>
        <v>472</v>
      </c>
      <c r="D30" s="641">
        <f t="shared" si="2"/>
        <v>3253.87339114165</v>
      </c>
      <c r="E30" s="641">
        <f t="shared" si="3"/>
        <v>1535828</v>
      </c>
      <c r="F30" s="641">
        <f>'[2]Type 5 Charters'!D25</f>
        <v>69675</v>
      </c>
      <c r="G30" s="647">
        <f>'[5]Table 5B_RSD'!F31</f>
        <v>427</v>
      </c>
      <c r="H30" s="641">
        <f t="shared" si="4"/>
        <v>163.17330210772835</v>
      </c>
      <c r="I30" s="638">
        <f t="shared" si="5"/>
        <v>77017.79859484777</v>
      </c>
      <c r="J30" s="641">
        <f>'[2]Type 5 Charters'!F25</f>
        <v>7972</v>
      </c>
      <c r="K30" s="640">
        <f t="shared" si="6"/>
        <v>427</v>
      </c>
      <c r="L30" s="641">
        <f aca="true" t="shared" si="17" ref="L30:L35">J30/K30</f>
        <v>18.669789227166277</v>
      </c>
      <c r="M30" s="638">
        <f t="shared" si="8"/>
        <v>8812.140515222483</v>
      </c>
      <c r="N30" s="638">
        <f t="shared" si="9"/>
        <v>85829.93911007026</v>
      </c>
      <c r="O30" s="638">
        <f>'[12]Type 5 Charters - Orleans'!D25</f>
        <v>46487</v>
      </c>
      <c r="P30" s="640">
        <f>'[9]5B1_RSD_Orleans_corrected order'!E33</f>
        <v>464</v>
      </c>
      <c r="Q30" s="638">
        <f t="shared" si="10"/>
        <v>100.1875</v>
      </c>
      <c r="R30" s="638">
        <f t="shared" si="11"/>
        <v>47288.5</v>
      </c>
      <c r="S30" s="956">
        <f t="shared" si="12"/>
        <v>1668946.4391100702</v>
      </c>
      <c r="T30" s="967">
        <f>'Dec Midyear Adjustment'!O106</f>
        <v>53038.55973714817</v>
      </c>
      <c r="U30" s="967">
        <f>'March Midyear Adjustment'!M106</f>
        <v>0</v>
      </c>
      <c r="V30" s="956">
        <f t="shared" si="13"/>
        <v>1721984.9988472185</v>
      </c>
      <c r="W30" s="1160">
        <f>-'[22]RSD - Orleans'!$C28</f>
        <v>-51017</v>
      </c>
      <c r="X30" s="967">
        <f t="shared" si="14"/>
        <v>1670967.9988472185</v>
      </c>
      <c r="Y30" s="641">
        <f>'[13]Audit Adjs_09-10 BL_TOTAL'!E114</f>
        <v>0</v>
      </c>
      <c r="Z30" s="641">
        <f>'[14]Audit Adjs - TOTAL'!F115</f>
        <v>0</v>
      </c>
      <c r="AA30" s="641">
        <f t="shared" si="16"/>
        <v>0</v>
      </c>
      <c r="AB30" s="957">
        <f t="shared" si="15"/>
        <v>1670967.9988472185</v>
      </c>
      <c r="AC30" s="455"/>
      <c r="AD30" s="455"/>
      <c r="AE30" s="456"/>
    </row>
    <row r="31" spans="1:31" ht="30.75" customHeight="1">
      <c r="A31" t="s">
        <v>261</v>
      </c>
      <c r="B31" s="645" t="s">
        <v>723</v>
      </c>
      <c r="C31" s="646">
        <f>'Table 8 Membership, 2.1.09'!R107</f>
        <v>358</v>
      </c>
      <c r="D31" s="641">
        <f t="shared" si="2"/>
        <v>3253.87339114165</v>
      </c>
      <c r="E31" s="641">
        <f t="shared" si="3"/>
        <v>1164887</v>
      </c>
      <c r="F31" s="641">
        <f>'[2]Type 5 Charters'!D26</f>
        <v>98308</v>
      </c>
      <c r="G31" s="647">
        <f>'[5]Table 5B_RSD'!F32</f>
        <v>445</v>
      </c>
      <c r="H31" s="641">
        <f t="shared" si="4"/>
        <v>220.91685393258427</v>
      </c>
      <c r="I31" s="638">
        <f t="shared" si="5"/>
        <v>79088.23370786518</v>
      </c>
      <c r="J31" s="641">
        <f>'[2]Type 5 Charters'!F26</f>
        <v>11220</v>
      </c>
      <c r="K31" s="640">
        <f t="shared" si="6"/>
        <v>445</v>
      </c>
      <c r="L31" s="641">
        <f t="shared" si="17"/>
        <v>25.213483146067414</v>
      </c>
      <c r="M31" s="638">
        <f t="shared" si="8"/>
        <v>9026.426966292134</v>
      </c>
      <c r="N31" s="638">
        <f t="shared" si="9"/>
        <v>88114.6606741573</v>
      </c>
      <c r="O31" s="638">
        <f>'[12]Type 5 Charters - Orleans'!D26</f>
        <v>42231</v>
      </c>
      <c r="P31" s="640">
        <f>'[9]5B1_RSD_Orleans_corrected order'!E34</f>
        <v>351</v>
      </c>
      <c r="Q31" s="638">
        <f t="shared" si="10"/>
        <v>120.31623931623932</v>
      </c>
      <c r="R31" s="638">
        <f t="shared" si="11"/>
        <v>43073.21367521368</v>
      </c>
      <c r="S31" s="956">
        <f t="shared" si="12"/>
        <v>1296074.874349371</v>
      </c>
      <c r="T31" s="967">
        <f>'Dec Midyear Adjustment'!O107</f>
        <v>481502.5556823599</v>
      </c>
      <c r="U31" s="967">
        <f>'March Midyear Adjustment'!M107</f>
        <v>0</v>
      </c>
      <c r="V31" s="956">
        <f t="shared" si="13"/>
        <v>1777577.430031731</v>
      </c>
      <c r="W31" s="1160">
        <f>-'[22]RSD - Orleans'!$C29</f>
        <v>-39619</v>
      </c>
      <c r="X31" s="967">
        <f t="shared" si="14"/>
        <v>1737958.430031731</v>
      </c>
      <c r="Y31" s="641">
        <f>'[13]Audit Adjs_09-10 BL_TOTAL'!E115</f>
        <v>0</v>
      </c>
      <c r="Z31" s="641">
        <f>'[14]Audit Adjs - TOTAL'!F116</f>
        <v>0</v>
      </c>
      <c r="AA31" s="641">
        <f t="shared" si="16"/>
        <v>0</v>
      </c>
      <c r="AB31" s="957">
        <f t="shared" si="15"/>
        <v>1737958.430031731</v>
      </c>
      <c r="AC31" s="455"/>
      <c r="AD31" s="455"/>
      <c r="AE31" s="456"/>
    </row>
    <row r="32" spans="1:31" ht="30.75" customHeight="1">
      <c r="A32" t="s">
        <v>260</v>
      </c>
      <c r="B32" s="645" t="s">
        <v>722</v>
      </c>
      <c r="C32" s="646">
        <f>'Table 8 Membership, 2.1.09'!R108</f>
        <v>452</v>
      </c>
      <c r="D32" s="641">
        <f t="shared" si="2"/>
        <v>3253.87339114165</v>
      </c>
      <c r="E32" s="641">
        <f t="shared" si="3"/>
        <v>1470751</v>
      </c>
      <c r="F32" s="641">
        <f>'[2]Type 5 Charters'!D27</f>
        <v>27693</v>
      </c>
      <c r="G32" s="647">
        <f>'[5]Table 5B_RSD'!F33</f>
        <v>117</v>
      </c>
      <c r="H32" s="641">
        <f t="shared" si="4"/>
        <v>236.69230769230768</v>
      </c>
      <c r="I32" s="638">
        <f t="shared" si="5"/>
        <v>106984.92307692308</v>
      </c>
      <c r="J32" s="641">
        <f>'[2]Type 5 Charters'!F27</f>
        <v>2362</v>
      </c>
      <c r="K32" s="640">
        <f t="shared" si="6"/>
        <v>117</v>
      </c>
      <c r="L32" s="641">
        <f t="shared" si="17"/>
        <v>20.188034188034187</v>
      </c>
      <c r="M32" s="638">
        <f t="shared" si="8"/>
        <v>9124.991452991453</v>
      </c>
      <c r="N32" s="638">
        <f t="shared" si="9"/>
        <v>116109.91452991453</v>
      </c>
      <c r="O32" s="638">
        <f>'[12]Type 5 Charters - Orleans'!D27</f>
        <v>49373</v>
      </c>
      <c r="P32" s="640">
        <f>'[9]5B1_RSD_Orleans_corrected order'!E35</f>
        <v>447</v>
      </c>
      <c r="Q32" s="638">
        <f t="shared" si="10"/>
        <v>110.45413870246085</v>
      </c>
      <c r="R32" s="638">
        <f t="shared" si="11"/>
        <v>49925.270693512306</v>
      </c>
      <c r="S32" s="956">
        <f t="shared" si="12"/>
        <v>1636786.185223427</v>
      </c>
      <c r="T32" s="967">
        <f>'Dec Midyear Adjustment'!O108</f>
        <v>130363.48338208029</v>
      </c>
      <c r="U32" s="967">
        <f>'March Midyear Adjustment'!M108</f>
        <v>0</v>
      </c>
      <c r="V32" s="956">
        <f t="shared" si="13"/>
        <v>1767149.6686055071</v>
      </c>
      <c r="W32" s="1160">
        <f>-'[22]RSD - Orleans'!$C30</f>
        <v>-50034</v>
      </c>
      <c r="X32" s="967">
        <f t="shared" si="14"/>
        <v>1717115.6686055071</v>
      </c>
      <c r="Y32" s="641">
        <f>'[13]Audit Adjs_09-10 BL_TOTAL'!E116</f>
        <v>0</v>
      </c>
      <c r="Z32" s="641">
        <f>'[14]Audit Adjs - TOTAL'!F117</f>
        <v>0</v>
      </c>
      <c r="AA32" s="641">
        <f t="shared" si="16"/>
        <v>0</v>
      </c>
      <c r="AB32" s="957">
        <f t="shared" si="15"/>
        <v>1717115.6686055071</v>
      </c>
      <c r="AC32" s="455"/>
      <c r="AD32" s="455"/>
      <c r="AE32" s="456"/>
    </row>
    <row r="33" spans="1:31" ht="30.75" customHeight="1">
      <c r="A33" t="s">
        <v>259</v>
      </c>
      <c r="B33" s="645" t="s">
        <v>721</v>
      </c>
      <c r="C33" s="646">
        <f>'Table 8 Membership, 2.1.09'!R109</f>
        <v>402</v>
      </c>
      <c r="D33" s="641">
        <f t="shared" si="2"/>
        <v>3253.87339114165</v>
      </c>
      <c r="E33" s="641">
        <f t="shared" si="3"/>
        <v>1308057</v>
      </c>
      <c r="F33" s="641">
        <f>'[2]Type 5 Charters'!D28</f>
        <v>85847</v>
      </c>
      <c r="G33" s="647">
        <f>'[5]Table 5B_RSD'!F34</f>
        <v>341</v>
      </c>
      <c r="H33" s="641">
        <f t="shared" si="4"/>
        <v>251.7507331378299</v>
      </c>
      <c r="I33" s="638">
        <f t="shared" si="5"/>
        <v>101203.79472140763</v>
      </c>
      <c r="J33" s="641">
        <f>'[2]Type 5 Charters'!F28</f>
        <v>15353</v>
      </c>
      <c r="K33" s="640">
        <f t="shared" si="6"/>
        <v>341</v>
      </c>
      <c r="L33" s="641">
        <f t="shared" si="17"/>
        <v>45.023460410557185</v>
      </c>
      <c r="M33" s="638">
        <f t="shared" si="8"/>
        <v>18099.431085043987</v>
      </c>
      <c r="N33" s="638">
        <f t="shared" si="9"/>
        <v>119303.2258064516</v>
      </c>
      <c r="O33" s="638">
        <f>'[12]Type 5 Charters - Orleans'!D28</f>
        <v>38839</v>
      </c>
      <c r="P33" s="640">
        <f>'[9]5B1_RSD_Orleans_corrected order'!E36</f>
        <v>392</v>
      </c>
      <c r="Q33" s="638">
        <f t="shared" si="10"/>
        <v>99.07908163265306</v>
      </c>
      <c r="R33" s="638">
        <f t="shared" si="11"/>
        <v>39829.79081632653</v>
      </c>
      <c r="S33" s="956">
        <f t="shared" si="12"/>
        <v>1467190.0166227783</v>
      </c>
      <c r="T33" s="967">
        <f>'Dec Midyear Adjustment'!O109</f>
        <v>448916.37995769083</v>
      </c>
      <c r="U33" s="967">
        <f>'March Midyear Adjustment'!M109</f>
        <v>0</v>
      </c>
      <c r="V33" s="956">
        <f t="shared" si="13"/>
        <v>1916106.396580469</v>
      </c>
      <c r="W33" s="1160">
        <f>-'[22]RSD - Orleans'!$C31</f>
        <v>-44849</v>
      </c>
      <c r="X33" s="967">
        <f t="shared" si="14"/>
        <v>1871257.396580469</v>
      </c>
      <c r="Y33" s="641">
        <f>'[13]Audit Adjs_09-10 BL_TOTAL'!E117</f>
        <v>0</v>
      </c>
      <c r="Z33" s="641">
        <f>'[14]Audit Adjs - TOTAL'!F118</f>
        <v>0</v>
      </c>
      <c r="AA33" s="641">
        <f t="shared" si="16"/>
        <v>0</v>
      </c>
      <c r="AB33" s="957">
        <f t="shared" si="15"/>
        <v>1871257.396580469</v>
      </c>
      <c r="AC33" s="455"/>
      <c r="AD33" s="455"/>
      <c r="AE33" s="456"/>
    </row>
    <row r="34" spans="1:31" ht="30.75" customHeight="1">
      <c r="A34" t="s">
        <v>258</v>
      </c>
      <c r="B34" s="645" t="s">
        <v>720</v>
      </c>
      <c r="C34" s="646">
        <f>'Table 8 Membership, 2.1.09'!R110</f>
        <v>159</v>
      </c>
      <c r="D34" s="641">
        <f t="shared" si="2"/>
        <v>3253.87339114165</v>
      </c>
      <c r="E34" s="641">
        <f t="shared" si="3"/>
        <v>517366</v>
      </c>
      <c r="F34" s="641">
        <f>'[2]Type 5 Charters'!D29</f>
        <v>19385</v>
      </c>
      <c r="G34" s="647">
        <f>'[5]Table 5B_RSD'!F35</f>
        <v>120</v>
      </c>
      <c r="H34" s="641">
        <f t="shared" si="4"/>
        <v>161.54166666666666</v>
      </c>
      <c r="I34" s="638">
        <f t="shared" si="5"/>
        <v>25685.125</v>
      </c>
      <c r="J34" s="641">
        <f>'[2]Type 5 Charters'!F29</f>
        <v>5887</v>
      </c>
      <c r="K34" s="640">
        <f t="shared" si="6"/>
        <v>120</v>
      </c>
      <c r="L34" s="641">
        <f t="shared" si="17"/>
        <v>49.05833333333333</v>
      </c>
      <c r="M34" s="638">
        <f t="shared" si="8"/>
        <v>7800.275</v>
      </c>
      <c r="N34" s="638">
        <f t="shared" si="9"/>
        <v>33485.4</v>
      </c>
      <c r="O34" s="638">
        <f>'[12]Type 5 Charters - Orleans'!D29</f>
        <v>16477</v>
      </c>
      <c r="P34" s="640">
        <f>'[9]5B1_RSD_Orleans_corrected order'!E37</f>
        <v>172</v>
      </c>
      <c r="Q34" s="638">
        <f t="shared" si="10"/>
        <v>95.79651162790698</v>
      </c>
      <c r="R34" s="638">
        <f t="shared" si="11"/>
        <v>15231.64534883721</v>
      </c>
      <c r="S34" s="956">
        <f t="shared" si="12"/>
        <v>566083.0453488373</v>
      </c>
      <c r="T34" s="967">
        <f>'Dec Midyear Adjustment'!O110</f>
        <v>1003996.112581015</v>
      </c>
      <c r="U34" s="967">
        <f>'March Midyear Adjustment'!M110</f>
        <v>0</v>
      </c>
      <c r="V34" s="956">
        <f t="shared" si="13"/>
        <v>1570079.1579298521</v>
      </c>
      <c r="W34" s="1160">
        <f>-'[22]RSD - Orleans'!$C32</f>
        <v>-17304</v>
      </c>
      <c r="X34" s="967">
        <f t="shared" si="14"/>
        <v>1552775.1579298521</v>
      </c>
      <c r="Y34" s="641">
        <f>'[13]Audit Adjs_09-10 BL_TOTAL'!E118</f>
        <v>0</v>
      </c>
      <c r="Z34" s="641">
        <f>'[14]Audit Adjs - TOTAL'!F119</f>
        <v>-3083.384512699029</v>
      </c>
      <c r="AA34" s="641">
        <f t="shared" si="16"/>
        <v>-3083.384512699029</v>
      </c>
      <c r="AB34" s="957">
        <f t="shared" si="15"/>
        <v>1549691.7734171532</v>
      </c>
      <c r="AC34" s="455"/>
      <c r="AD34" s="455"/>
      <c r="AE34" s="456"/>
    </row>
    <row r="35" spans="1:31" ht="30.75" customHeight="1">
      <c r="A35" t="s">
        <v>257</v>
      </c>
      <c r="B35" s="645" t="s">
        <v>719</v>
      </c>
      <c r="C35" s="646">
        <f>'Table 8 Membership, 2.1.09'!R111</f>
        <v>364</v>
      </c>
      <c r="D35" s="641">
        <f t="shared" si="2"/>
        <v>3253.87339114165</v>
      </c>
      <c r="E35" s="641">
        <f t="shared" si="3"/>
        <v>1184410</v>
      </c>
      <c r="F35" s="641">
        <f>'[2]Type 5 Charters'!D30</f>
        <v>72001</v>
      </c>
      <c r="G35" s="647">
        <f>'[5]Table 5B_RSD'!F36</f>
        <v>321</v>
      </c>
      <c r="H35" s="641">
        <f t="shared" si="4"/>
        <v>224.30218068535825</v>
      </c>
      <c r="I35" s="638">
        <f t="shared" si="5"/>
        <v>81645.9937694704</v>
      </c>
      <c r="J35" s="641">
        <f>'[2]Type 5 Charters'!F30</f>
        <v>5905</v>
      </c>
      <c r="K35" s="640">
        <f t="shared" si="6"/>
        <v>321</v>
      </c>
      <c r="L35" s="641">
        <f t="shared" si="17"/>
        <v>18.39563862928349</v>
      </c>
      <c r="M35" s="638">
        <f t="shared" si="8"/>
        <v>6696.01246105919</v>
      </c>
      <c r="N35" s="638">
        <f t="shared" si="9"/>
        <v>88342.00623052959</v>
      </c>
      <c r="O35" s="638">
        <f>'[12]Type 5 Charters - Orleans'!D30</f>
        <v>29424</v>
      </c>
      <c r="P35" s="640">
        <f>'[9]5B1_RSD_Orleans_corrected order'!E38</f>
        <v>335</v>
      </c>
      <c r="Q35" s="638">
        <f t="shared" si="10"/>
        <v>87.83283582089553</v>
      </c>
      <c r="R35" s="638">
        <f t="shared" si="11"/>
        <v>31971.15223880597</v>
      </c>
      <c r="S35" s="956">
        <f t="shared" si="12"/>
        <v>1304723.1584693356</v>
      </c>
      <c r="T35" s="967">
        <f>'Dec Midyear Adjustment'!O111</f>
        <v>0</v>
      </c>
      <c r="U35" s="967">
        <f>'March Midyear Adjustment'!M111</f>
        <v>0</v>
      </c>
      <c r="V35" s="956">
        <f t="shared" si="13"/>
        <v>1304723.1584693356</v>
      </c>
      <c r="W35" s="1160">
        <f>-'[22]RSD - Orleans'!$C33</f>
        <v>-39883</v>
      </c>
      <c r="X35" s="967">
        <f t="shared" si="14"/>
        <v>1264840.1584693356</v>
      </c>
      <c r="Y35" s="641">
        <f>'[13]Audit Adjs_09-10 BL_TOTAL'!E119</f>
        <v>0</v>
      </c>
      <c r="Z35" s="641">
        <f>'[14]Audit Adjs - TOTAL'!F120</f>
        <v>0</v>
      </c>
      <c r="AA35" s="641">
        <f t="shared" si="16"/>
        <v>0</v>
      </c>
      <c r="AB35" s="957">
        <f t="shared" si="15"/>
        <v>1264840.1584693356</v>
      </c>
      <c r="AC35" s="455"/>
      <c r="AD35" s="455"/>
      <c r="AE35" s="456"/>
    </row>
    <row r="36" spans="2:31" ht="30.75" customHeight="1">
      <c r="B36" s="645" t="s">
        <v>708</v>
      </c>
      <c r="C36" s="646">
        <f>'Table 8 Membership, 2.1.09'!R112</f>
        <v>84</v>
      </c>
      <c r="D36" s="641">
        <f t="shared" si="2"/>
        <v>3253.87339114165</v>
      </c>
      <c r="E36" s="641">
        <f t="shared" si="3"/>
        <v>273325</v>
      </c>
      <c r="F36" s="641"/>
      <c r="G36" s="647"/>
      <c r="H36" s="1154">
        <f>'[20]Table 5B1_RSD_Orleans'!$H36</f>
        <v>283.49</v>
      </c>
      <c r="I36" s="638">
        <f t="shared" si="5"/>
        <v>23813.16</v>
      </c>
      <c r="J36" s="641"/>
      <c r="K36" s="640"/>
      <c r="L36" s="677">
        <f>'[20]Table 5B1_RSD_Orleans'!$L36</f>
        <v>46.35</v>
      </c>
      <c r="M36" s="638">
        <f t="shared" si="8"/>
        <v>3893.4</v>
      </c>
      <c r="N36" s="638">
        <f t="shared" si="9"/>
        <v>27706.56</v>
      </c>
      <c r="O36" s="638">
        <f>'[12]Type 5 Charters - Orleans'!D31</f>
        <v>11732</v>
      </c>
      <c r="P36" s="640">
        <f>'[9]5B1_RSD_Orleans_corrected order'!E39</f>
        <v>83</v>
      </c>
      <c r="Q36" s="638">
        <f t="shared" si="10"/>
        <v>141.34939759036143</v>
      </c>
      <c r="R36" s="638">
        <f t="shared" si="11"/>
        <v>11873.34939759036</v>
      </c>
      <c r="S36" s="956">
        <f t="shared" si="12"/>
        <v>312904.9093975904</v>
      </c>
      <c r="T36" s="967">
        <f>'Dec Midyear Adjustment'!O112</f>
        <v>249579.20684504477</v>
      </c>
      <c r="U36" s="967">
        <f>'March Midyear Adjustment'!M112</f>
        <v>18625.313943660058</v>
      </c>
      <c r="V36" s="956">
        <f t="shared" si="13"/>
        <v>581109.4301862952</v>
      </c>
      <c r="W36" s="1160">
        <f>-'[22]RSD - Orleans'!$C34</f>
        <v>-9565</v>
      </c>
      <c r="X36" s="967">
        <f t="shared" si="14"/>
        <v>571544.4301862952</v>
      </c>
      <c r="Y36" s="641">
        <f>'[13]Audit Adjs_09-10 BL_TOTAL'!E120</f>
        <v>0</v>
      </c>
      <c r="Z36" s="641">
        <f>'[14]Audit Adjs - TOTAL'!F121</f>
        <v>0</v>
      </c>
      <c r="AA36" s="641">
        <f t="shared" si="16"/>
        <v>0</v>
      </c>
      <c r="AB36" s="957">
        <f t="shared" si="15"/>
        <v>571544.4301862952</v>
      </c>
      <c r="AC36" s="455"/>
      <c r="AD36" s="455"/>
      <c r="AE36" s="456"/>
    </row>
    <row r="37" spans="2:31" ht="30.75" customHeight="1">
      <c r="B37" s="645" t="s">
        <v>709</v>
      </c>
      <c r="C37" s="646">
        <f>'Table 8 Membership, 2.1.09'!R113</f>
        <v>62</v>
      </c>
      <c r="D37" s="641">
        <f t="shared" si="2"/>
        <v>3253.87339114165</v>
      </c>
      <c r="E37" s="641">
        <f t="shared" si="3"/>
        <v>201740</v>
      </c>
      <c r="F37" s="641"/>
      <c r="G37" s="647"/>
      <c r="H37" s="1154">
        <f>'[20]Table 5B1_RSD_Orleans'!$H37</f>
        <v>283.49</v>
      </c>
      <c r="I37" s="638">
        <f t="shared" si="5"/>
        <v>17576.38</v>
      </c>
      <c r="J37" s="641"/>
      <c r="K37" s="640"/>
      <c r="L37" s="677">
        <f>'[20]Table 5B1_RSD_Orleans'!$L37</f>
        <v>46.35</v>
      </c>
      <c r="M37" s="638">
        <f t="shared" si="8"/>
        <v>2873.7000000000003</v>
      </c>
      <c r="N37" s="638">
        <f t="shared" si="9"/>
        <v>20450.08</v>
      </c>
      <c r="O37" s="638">
        <f>'[12]Type 5 Charters - Orleans'!D32</f>
        <v>15361</v>
      </c>
      <c r="P37" s="640">
        <f>'[9]5B1_RSD_Orleans_corrected order'!E40</f>
        <v>54</v>
      </c>
      <c r="Q37" s="638">
        <f t="shared" si="10"/>
        <v>284.462962962963</v>
      </c>
      <c r="R37" s="638">
        <f t="shared" si="11"/>
        <v>17636.703703703704</v>
      </c>
      <c r="S37" s="956">
        <f t="shared" si="12"/>
        <v>239826.78370370372</v>
      </c>
      <c r="T37" s="967">
        <f>'Dec Midyear Adjustment'!O113</f>
        <v>278508.6974955321</v>
      </c>
      <c r="U37" s="967">
        <f>'March Midyear Adjustment'!M113</f>
        <v>0</v>
      </c>
      <c r="V37" s="956">
        <f t="shared" si="13"/>
        <v>518335.48119923583</v>
      </c>
      <c r="W37" s="1160">
        <f>-'[22]RSD - Orleans'!$C35</f>
        <v>-7331</v>
      </c>
      <c r="X37" s="967">
        <f t="shared" si="14"/>
        <v>511004.48119923583</v>
      </c>
      <c r="Y37" s="641">
        <f>'[13]Audit Adjs_09-10 BL_TOTAL'!E121</f>
        <v>0</v>
      </c>
      <c r="Z37" s="641">
        <f>'[14]Audit Adjs - TOTAL'!F122</f>
        <v>0</v>
      </c>
      <c r="AA37" s="641">
        <f t="shared" si="16"/>
        <v>0</v>
      </c>
      <c r="AB37" s="957">
        <f t="shared" si="15"/>
        <v>511004.48119923583</v>
      </c>
      <c r="AC37" s="455"/>
      <c r="AD37" s="455"/>
      <c r="AE37" s="456"/>
    </row>
    <row r="38" spans="2:31" ht="28.5" customHeight="1">
      <c r="B38" s="645" t="s">
        <v>710</v>
      </c>
      <c r="C38" s="646">
        <f>'Table 8 Membership, 2.1.09'!R114</f>
        <v>119</v>
      </c>
      <c r="D38" s="641">
        <f t="shared" si="2"/>
        <v>3253.87339114165</v>
      </c>
      <c r="E38" s="641">
        <f t="shared" si="3"/>
        <v>387211</v>
      </c>
      <c r="F38" s="641"/>
      <c r="G38" s="647"/>
      <c r="H38" s="1154">
        <f>'[20]Table 5B1_RSD_Orleans'!$H38</f>
        <v>283.49</v>
      </c>
      <c r="I38" s="638">
        <f t="shared" si="5"/>
        <v>33735.31</v>
      </c>
      <c r="J38" s="641"/>
      <c r="K38" s="640"/>
      <c r="L38" s="677">
        <f>'[20]Table 5B1_RSD_Orleans'!$L38</f>
        <v>46.35</v>
      </c>
      <c r="M38" s="638">
        <f t="shared" si="8"/>
        <v>5515.650000000001</v>
      </c>
      <c r="N38" s="638">
        <f t="shared" si="9"/>
        <v>39250.96</v>
      </c>
      <c r="O38" s="638">
        <f>'[12]Type 5 Charters - Orleans'!D33</f>
        <v>11769</v>
      </c>
      <c r="P38" s="640">
        <f>'[9]5B1_RSD_Orleans_corrected order'!E41</f>
        <v>116</v>
      </c>
      <c r="Q38" s="638">
        <f t="shared" si="10"/>
        <v>101.45689655172414</v>
      </c>
      <c r="R38" s="638">
        <f t="shared" si="11"/>
        <v>12073.370689655172</v>
      </c>
      <c r="S38" s="956">
        <f t="shared" si="12"/>
        <v>438535.3306896552</v>
      </c>
      <c r="T38" s="967">
        <f>'Dec Midyear Adjustment'!O114</f>
        <v>180573.34409697534</v>
      </c>
      <c r="U38" s="967">
        <f>'March Midyear Adjustment'!M114</f>
        <v>0</v>
      </c>
      <c r="V38" s="956">
        <f t="shared" si="13"/>
        <v>619108.6747866306</v>
      </c>
      <c r="W38" s="1160">
        <f>-'[22]RSD - Orleans'!$C36</f>
        <v>-13405</v>
      </c>
      <c r="X38" s="967">
        <f t="shared" si="14"/>
        <v>605703.6747866306</v>
      </c>
      <c r="Y38" s="641">
        <f>'[13]Audit Adjs_09-10 BL_TOTAL'!E122</f>
        <v>0</v>
      </c>
      <c r="Z38" s="641">
        <f>'[14]Audit Adjs - TOTAL'!F123</f>
        <v>0</v>
      </c>
      <c r="AA38" s="641">
        <f t="shared" si="16"/>
        <v>0</v>
      </c>
      <c r="AB38" s="957">
        <f t="shared" si="15"/>
        <v>605703.6747866306</v>
      </c>
      <c r="AC38" s="455"/>
      <c r="AD38" s="455"/>
      <c r="AE38" s="456"/>
    </row>
    <row r="39" spans="2:31" ht="30.75" customHeight="1">
      <c r="B39" s="645" t="s">
        <v>711</v>
      </c>
      <c r="C39" s="646">
        <f>'Table 8 Membership, 2.1.09'!R115</f>
        <v>240</v>
      </c>
      <c r="D39" s="641">
        <f t="shared" si="2"/>
        <v>3253.87339114165</v>
      </c>
      <c r="E39" s="641">
        <f t="shared" si="3"/>
        <v>780930</v>
      </c>
      <c r="F39" s="641"/>
      <c r="G39" s="647"/>
      <c r="H39" s="1154">
        <f>'[20]Table 5B1_RSD_Orleans'!$H39</f>
        <v>283.49</v>
      </c>
      <c r="I39" s="638">
        <f t="shared" si="5"/>
        <v>68037.6</v>
      </c>
      <c r="J39" s="641"/>
      <c r="K39" s="640"/>
      <c r="L39" s="677">
        <f>'[20]Table 5B1_RSD_Orleans'!$L39</f>
        <v>46.35</v>
      </c>
      <c r="M39" s="638">
        <f t="shared" si="8"/>
        <v>11124</v>
      </c>
      <c r="N39" s="638">
        <f t="shared" si="9"/>
        <v>79161.6</v>
      </c>
      <c r="O39" s="638">
        <f>'[12]Type 5 Charters - Orleans'!D34</f>
        <v>22362</v>
      </c>
      <c r="P39" s="640">
        <f>'[9]5B1_RSD_Orleans_corrected order'!E42</f>
        <v>218</v>
      </c>
      <c r="Q39" s="638">
        <f t="shared" si="10"/>
        <v>102.57798165137615</v>
      </c>
      <c r="R39" s="638">
        <f t="shared" si="11"/>
        <v>24618.715596330276</v>
      </c>
      <c r="S39" s="956">
        <f t="shared" si="12"/>
        <v>884710.3155963302</v>
      </c>
      <c r="T39" s="967">
        <f>'Dec Midyear Adjustment'!O115</f>
        <v>206432.31687640946</v>
      </c>
      <c r="U39" s="967">
        <f>'March Midyear Adjustment'!M115</f>
        <v>12902.019804775591</v>
      </c>
      <c r="V39" s="956">
        <f t="shared" si="13"/>
        <v>1104044.652277515</v>
      </c>
      <c r="W39" s="1160">
        <f>-'[22]RSD - Orleans'!$C37</f>
        <v>-27044</v>
      </c>
      <c r="X39" s="967">
        <f t="shared" si="14"/>
        <v>1077000.652277515</v>
      </c>
      <c r="Y39" s="641">
        <f>'[13]Audit Adjs_09-10 BL_TOTAL'!E123</f>
        <v>0</v>
      </c>
      <c r="Z39" s="641">
        <f>'[14]Audit Adjs - TOTAL'!F124</f>
        <v>0</v>
      </c>
      <c r="AA39" s="641">
        <f t="shared" si="16"/>
        <v>0</v>
      </c>
      <c r="AB39" s="957">
        <f t="shared" si="15"/>
        <v>1077000.652277515</v>
      </c>
      <c r="AC39" s="455"/>
      <c r="AD39" s="455"/>
      <c r="AE39" s="456"/>
    </row>
    <row r="40" spans="2:31" ht="30.75" customHeight="1">
      <c r="B40" s="645" t="s">
        <v>712</v>
      </c>
      <c r="C40" s="646">
        <f>'Table 8 Membership, 2.1.09'!R116</f>
        <v>94</v>
      </c>
      <c r="D40" s="641">
        <f t="shared" si="2"/>
        <v>3253.87339114165</v>
      </c>
      <c r="E40" s="641">
        <f t="shared" si="3"/>
        <v>305864</v>
      </c>
      <c r="F40" s="641"/>
      <c r="G40" s="647"/>
      <c r="H40" s="1154">
        <f>'[20]Table 5B1_RSD_Orleans'!$H40</f>
        <v>283.49</v>
      </c>
      <c r="I40" s="638">
        <f t="shared" si="5"/>
        <v>26648.06</v>
      </c>
      <c r="J40" s="641"/>
      <c r="K40" s="640"/>
      <c r="L40" s="677">
        <f>'[20]Table 5B1_RSD_Orleans'!$L40</f>
        <v>46.35</v>
      </c>
      <c r="M40" s="638">
        <f t="shared" si="8"/>
        <v>4356.900000000001</v>
      </c>
      <c r="N40" s="638">
        <f t="shared" si="9"/>
        <v>31004.960000000003</v>
      </c>
      <c r="O40" s="638">
        <f>'[12]Type 5 Charters - Orleans'!D35</f>
        <v>9416</v>
      </c>
      <c r="P40" s="640">
        <f>'[9]5B1_RSD_Orleans_corrected order'!E43</f>
        <v>95</v>
      </c>
      <c r="Q40" s="638">
        <f t="shared" si="10"/>
        <v>99.11578947368422</v>
      </c>
      <c r="R40" s="638">
        <f t="shared" si="11"/>
        <v>9316.884210526316</v>
      </c>
      <c r="S40" s="956">
        <f t="shared" si="12"/>
        <v>346185.8442105263</v>
      </c>
      <c r="T40" s="967">
        <f>'Dec Midyear Adjustment'!O116</f>
        <v>371965.7472421488</v>
      </c>
      <c r="U40" s="967">
        <f>'March Midyear Adjustment'!M116</f>
        <v>0</v>
      </c>
      <c r="V40" s="956">
        <f t="shared" si="13"/>
        <v>718151.5914526752</v>
      </c>
      <c r="W40" s="1160">
        <f>-'[22]RSD - Orleans'!$C38</f>
        <v>-10582</v>
      </c>
      <c r="X40" s="967">
        <f t="shared" si="14"/>
        <v>707569.5914526752</v>
      </c>
      <c r="Y40" s="641">
        <f>'[13]Audit Adjs_09-10 BL_TOTAL'!E124</f>
        <v>0</v>
      </c>
      <c r="Z40" s="641">
        <f>'[14]Audit Adjs - TOTAL'!F125</f>
        <v>0</v>
      </c>
      <c r="AA40" s="641">
        <f t="shared" si="16"/>
        <v>0</v>
      </c>
      <c r="AB40" s="957">
        <f t="shared" si="15"/>
        <v>707569.5914526752</v>
      </c>
      <c r="AC40" s="455"/>
      <c r="AD40" s="455"/>
      <c r="AE40" s="456"/>
    </row>
    <row r="41" spans="2:31" ht="30.75" customHeight="1">
      <c r="B41" s="645" t="s">
        <v>718</v>
      </c>
      <c r="C41" s="646">
        <f>'Table 8 Membership, 2.1.09'!R117</f>
        <v>186</v>
      </c>
      <c r="D41" s="641">
        <f t="shared" si="2"/>
        <v>3253.87339114165</v>
      </c>
      <c r="E41" s="641">
        <f t="shared" si="3"/>
        <v>605220</v>
      </c>
      <c r="F41" s="641"/>
      <c r="G41" s="647"/>
      <c r="H41" s="1154">
        <f>'[20]Table 5B1_RSD_Orleans'!$H41</f>
        <v>283.49</v>
      </c>
      <c r="I41" s="638">
        <f t="shared" si="5"/>
        <v>52729.14</v>
      </c>
      <c r="J41" s="641"/>
      <c r="K41" s="640"/>
      <c r="L41" s="677">
        <f>'[20]Table 5B1_RSD_Orleans'!$L41</f>
        <v>46.35</v>
      </c>
      <c r="M41" s="638">
        <f t="shared" si="8"/>
        <v>8621.1</v>
      </c>
      <c r="N41" s="638">
        <f t="shared" si="9"/>
        <v>61350.24</v>
      </c>
      <c r="O41" s="638">
        <f>'[12]Type 5 Charters - Orleans'!D36</f>
        <v>18350</v>
      </c>
      <c r="P41" s="640">
        <f>'[9]5B1_RSD_Orleans_corrected order'!E44</f>
        <v>196</v>
      </c>
      <c r="Q41" s="638">
        <f t="shared" si="10"/>
        <v>93.62244897959184</v>
      </c>
      <c r="R41" s="638">
        <f t="shared" si="11"/>
        <v>17413.775510204083</v>
      </c>
      <c r="S41" s="956">
        <f t="shared" si="12"/>
        <v>683984.015510204</v>
      </c>
      <c r="T41" s="967">
        <f>'Dec Midyear Adjustment'!O117</f>
        <v>742821.8397044908</v>
      </c>
      <c r="U41" s="967">
        <f>'March Midyear Adjustment'!M117</f>
        <v>0</v>
      </c>
      <c r="V41" s="956">
        <f t="shared" si="13"/>
        <v>1426805.855214695</v>
      </c>
      <c r="W41" s="1160">
        <f>-'[22]RSD - Orleans'!$C39</f>
        <v>-20908</v>
      </c>
      <c r="X41" s="967">
        <f t="shared" si="14"/>
        <v>1405897.855214695</v>
      </c>
      <c r="Y41" s="641">
        <f>'[13]Audit Adjs_09-10 BL_TOTAL'!E125</f>
        <v>0</v>
      </c>
      <c r="Z41" s="641">
        <f>'[14]Audit Adjs - TOTAL'!F126</f>
        <v>0</v>
      </c>
      <c r="AA41" s="641">
        <f t="shared" si="16"/>
        <v>0</v>
      </c>
      <c r="AB41" s="957">
        <f t="shared" si="15"/>
        <v>1405897.855214695</v>
      </c>
      <c r="AC41" s="455"/>
      <c r="AD41" s="455"/>
      <c r="AE41" s="456"/>
    </row>
    <row r="42" spans="2:31" ht="30.75" customHeight="1">
      <c r="B42" s="828" t="s">
        <v>717</v>
      </c>
      <c r="C42" s="646">
        <f>'Table 8 Membership, 2.1.09'!R118</f>
        <v>103</v>
      </c>
      <c r="D42" s="641">
        <f t="shared" si="2"/>
        <v>3253.87339114165</v>
      </c>
      <c r="E42" s="641">
        <f t="shared" si="3"/>
        <v>335149</v>
      </c>
      <c r="F42" s="641"/>
      <c r="G42" s="647"/>
      <c r="H42" s="1154">
        <f>'[20]Table 5B1_RSD_Orleans'!$H42</f>
        <v>283.49</v>
      </c>
      <c r="I42" s="638">
        <f t="shared" si="5"/>
        <v>29199.47</v>
      </c>
      <c r="J42" s="641"/>
      <c r="K42" s="640"/>
      <c r="L42" s="677">
        <f>'[20]Table 5B1_RSD_Orleans'!$L42</f>
        <v>46.35</v>
      </c>
      <c r="M42" s="638">
        <f t="shared" si="8"/>
        <v>4774.05</v>
      </c>
      <c r="N42" s="638">
        <f t="shared" si="9"/>
        <v>33973.520000000004</v>
      </c>
      <c r="O42" s="638">
        <f>'[12]Type 5 Charters - Orleans'!D37</f>
        <v>12946</v>
      </c>
      <c r="P42" s="640">
        <f>'[9]5B1_RSD_Orleans_corrected order'!E45</f>
        <v>108</v>
      </c>
      <c r="Q42" s="638">
        <f t="shared" si="10"/>
        <v>119.87037037037037</v>
      </c>
      <c r="R42" s="638">
        <f t="shared" si="11"/>
        <v>12346.648148148148</v>
      </c>
      <c r="S42" s="956">
        <f t="shared" si="12"/>
        <v>381469.16814814816</v>
      </c>
      <c r="T42" s="967">
        <f>'Dec Midyear Adjustment'!O118</f>
        <v>296286.7009209616</v>
      </c>
      <c r="U42" s="967">
        <f>'March Midyear Adjustment'!M118</f>
        <v>0</v>
      </c>
      <c r="V42" s="956">
        <f t="shared" si="13"/>
        <v>677755.8690691098</v>
      </c>
      <c r="W42" s="1160">
        <f>-'[22]RSD - Orleans'!$C40</f>
        <v>-11661</v>
      </c>
      <c r="X42" s="967">
        <f t="shared" si="14"/>
        <v>666094.8690691098</v>
      </c>
      <c r="Y42" s="641">
        <f>'[13]Audit Adjs_09-10 BL_TOTAL'!E126</f>
        <v>0</v>
      </c>
      <c r="Z42" s="641">
        <f>'[14]Audit Adjs - TOTAL'!F127</f>
        <v>0</v>
      </c>
      <c r="AA42" s="641">
        <f t="shared" si="16"/>
        <v>0</v>
      </c>
      <c r="AB42" s="957">
        <f t="shared" si="15"/>
        <v>666094.8690691098</v>
      </c>
      <c r="AC42" s="455"/>
      <c r="AD42" s="455"/>
      <c r="AE42" s="456"/>
    </row>
    <row r="43" spans="2:31" ht="30.75" customHeight="1">
      <c r="B43" s="828" t="s">
        <v>42</v>
      </c>
      <c r="C43" s="829">
        <f>'Table 8 Membership, 2.1.09'!R119</f>
        <v>80</v>
      </c>
      <c r="D43" s="641">
        <f t="shared" si="2"/>
        <v>3253.87339114165</v>
      </c>
      <c r="E43" s="641">
        <f t="shared" si="3"/>
        <v>260310</v>
      </c>
      <c r="F43" s="641"/>
      <c r="G43" s="647"/>
      <c r="H43" s="1154">
        <f>'[20]Table 5B1_RSD_Orleans'!$H43</f>
        <v>283.49</v>
      </c>
      <c r="I43" s="638">
        <f t="shared" si="5"/>
        <v>22679.2</v>
      </c>
      <c r="J43" s="641"/>
      <c r="K43" s="640"/>
      <c r="L43" s="677">
        <f>'[20]Table 5B1_RSD_Orleans'!$L43</f>
        <v>46.35</v>
      </c>
      <c r="M43" s="638">
        <f t="shared" si="8"/>
        <v>3708</v>
      </c>
      <c r="N43" s="638">
        <f t="shared" si="9"/>
        <v>26387.2</v>
      </c>
      <c r="O43" s="638"/>
      <c r="P43" s="640"/>
      <c r="Q43" s="638">
        <f>'[20]Table 5B1_RSD_Orleans'!$Q43</f>
        <v>103.83356164383562</v>
      </c>
      <c r="R43" s="638">
        <f t="shared" si="11"/>
        <v>8306.68493150685</v>
      </c>
      <c r="S43" s="956">
        <f t="shared" si="12"/>
        <v>295003.8849315069</v>
      </c>
      <c r="T43" s="967">
        <f>'Dec Midyear Adjustment'!O119</f>
        <v>44250.56343342583</v>
      </c>
      <c r="U43" s="967">
        <f>'March Midyear Adjustment'!M119</f>
        <v>7375.093905570971</v>
      </c>
      <c r="V43" s="956">
        <f t="shared" si="13"/>
        <v>346629.5422705037</v>
      </c>
      <c r="W43" s="1160">
        <f>-'[22]RSD - Orleans'!$C41</f>
        <v>-9018</v>
      </c>
      <c r="X43" s="967">
        <f t="shared" si="14"/>
        <v>337611.5422705037</v>
      </c>
      <c r="Y43" s="641"/>
      <c r="Z43" s="641"/>
      <c r="AA43" s="641"/>
      <c r="AB43" s="957">
        <f t="shared" si="15"/>
        <v>337611.5422705037</v>
      </c>
      <c r="AC43" s="455"/>
      <c r="AD43" s="455"/>
      <c r="AE43" s="456"/>
    </row>
    <row r="44" spans="2:31" ht="30.75" customHeight="1">
      <c r="B44" s="828" t="s">
        <v>716</v>
      </c>
      <c r="C44" s="829">
        <f>'Table 8 Membership, 2.1.09'!R120</f>
        <v>96</v>
      </c>
      <c r="D44" s="641">
        <f t="shared" si="2"/>
        <v>3253.87339114165</v>
      </c>
      <c r="E44" s="641">
        <f t="shared" si="3"/>
        <v>312372</v>
      </c>
      <c r="F44" s="641"/>
      <c r="G44" s="647"/>
      <c r="H44" s="1154">
        <f>'[20]Table 5B1_RSD_Orleans'!$H44</f>
        <v>283.49</v>
      </c>
      <c r="I44" s="638">
        <f t="shared" si="5"/>
        <v>27215.04</v>
      </c>
      <c r="J44" s="641"/>
      <c r="K44" s="640"/>
      <c r="L44" s="677">
        <f>'[20]Table 5B1_RSD_Orleans'!$L44</f>
        <v>46.35</v>
      </c>
      <c r="M44" s="638">
        <f t="shared" si="8"/>
        <v>4449.6</v>
      </c>
      <c r="N44" s="638">
        <f t="shared" si="9"/>
        <v>31664.64</v>
      </c>
      <c r="O44" s="638"/>
      <c r="P44" s="640"/>
      <c r="Q44" s="638">
        <f>'[20]Table 5B1_RSD_Orleans'!$Q44</f>
        <v>103.83356164383562</v>
      </c>
      <c r="R44" s="638">
        <f t="shared" si="11"/>
        <v>9968.021917808219</v>
      </c>
      <c r="S44" s="956">
        <f t="shared" si="12"/>
        <v>354004.66191780823</v>
      </c>
      <c r="T44" s="967">
        <f>'Dec Midyear Adjustment'!O120</f>
        <v>228627.9110727001</v>
      </c>
      <c r="U44" s="967">
        <f>'March Midyear Adjustment'!M120</f>
        <v>5531.320429178229</v>
      </c>
      <c r="V44" s="956">
        <f t="shared" si="13"/>
        <v>588163.8934196865</v>
      </c>
      <c r="W44" s="1160">
        <f>-'[22]RSD - Orleans'!$C42</f>
        <v>-10821</v>
      </c>
      <c r="X44" s="967">
        <f t="shared" si="14"/>
        <v>577342.8934196865</v>
      </c>
      <c r="Y44" s="641"/>
      <c r="Z44" s="641"/>
      <c r="AA44" s="641"/>
      <c r="AB44" s="957">
        <f t="shared" si="15"/>
        <v>577342.8934196865</v>
      </c>
      <c r="AC44" s="455"/>
      <c r="AD44" s="455"/>
      <c r="AE44" s="456"/>
    </row>
    <row r="45" spans="2:31" ht="30.75" customHeight="1">
      <c r="B45" s="828" t="s">
        <v>715</v>
      </c>
      <c r="C45" s="829">
        <f>'Table 8 Membership, 2.1.09'!R121</f>
        <v>211</v>
      </c>
      <c r="D45" s="641">
        <f t="shared" si="2"/>
        <v>3253.87339114165</v>
      </c>
      <c r="E45" s="641">
        <f t="shared" si="3"/>
        <v>686567</v>
      </c>
      <c r="F45" s="641"/>
      <c r="G45" s="647"/>
      <c r="H45" s="1154">
        <f>'[20]Table 5B1_RSD_Orleans'!$H45</f>
        <v>283.49</v>
      </c>
      <c r="I45" s="638">
        <f t="shared" si="5"/>
        <v>59816.39</v>
      </c>
      <c r="J45" s="641"/>
      <c r="K45" s="640"/>
      <c r="L45" s="677">
        <f>'[20]Table 5B1_RSD_Orleans'!$L45</f>
        <v>46.35</v>
      </c>
      <c r="M45" s="638">
        <f t="shared" si="8"/>
        <v>9779.85</v>
      </c>
      <c r="N45" s="638">
        <f t="shared" si="9"/>
        <v>69596.24</v>
      </c>
      <c r="O45" s="638"/>
      <c r="P45" s="640"/>
      <c r="Q45" s="638">
        <f>'[20]Table 5B1_RSD_Orleans'!$Q45</f>
        <v>103.83356164383562</v>
      </c>
      <c r="R45" s="638">
        <f t="shared" si="11"/>
        <v>21908.881506849317</v>
      </c>
      <c r="S45" s="956">
        <f t="shared" si="12"/>
        <v>778072.1215068493</v>
      </c>
      <c r="T45" s="967">
        <f>'Dec Midyear Adjustment'!O121</f>
        <v>99563.76772520812</v>
      </c>
      <c r="U45" s="967">
        <f>'March Midyear Adjustment'!M121</f>
        <v>0</v>
      </c>
      <c r="V45" s="956">
        <f t="shared" si="13"/>
        <v>877635.8892320574</v>
      </c>
      <c r="W45" s="1160">
        <f>-'[22]RSD - Orleans'!$C43</f>
        <v>-23784</v>
      </c>
      <c r="X45" s="967">
        <f t="shared" si="14"/>
        <v>853851.8892320574</v>
      </c>
      <c r="Y45" s="641"/>
      <c r="Z45" s="641"/>
      <c r="AA45" s="641"/>
      <c r="AB45" s="957">
        <f t="shared" si="15"/>
        <v>853851.8892320574</v>
      </c>
      <c r="AC45" s="455"/>
      <c r="AD45" s="455"/>
      <c r="AE45" s="456"/>
    </row>
    <row r="46" spans="2:31" ht="30.75" customHeight="1">
      <c r="B46" s="828" t="s">
        <v>714</v>
      </c>
      <c r="C46" s="829">
        <f>'Table 8 Membership, 2.1.09'!R122</f>
        <v>100</v>
      </c>
      <c r="D46" s="641">
        <f t="shared" si="2"/>
        <v>3253.87339114165</v>
      </c>
      <c r="E46" s="641">
        <f t="shared" si="3"/>
        <v>325387</v>
      </c>
      <c r="F46" s="641"/>
      <c r="G46" s="647"/>
      <c r="H46" s="1154">
        <f>'[20]Table 5B1_RSD_Orleans'!$H46</f>
        <v>283.49</v>
      </c>
      <c r="I46" s="638">
        <f t="shared" si="5"/>
        <v>28349</v>
      </c>
      <c r="J46" s="641"/>
      <c r="K46" s="640"/>
      <c r="L46" s="677">
        <f>'[20]Table 5B1_RSD_Orleans'!$L46</f>
        <v>46.35</v>
      </c>
      <c r="M46" s="638">
        <f t="shared" si="8"/>
        <v>4635</v>
      </c>
      <c r="N46" s="638">
        <f t="shared" si="9"/>
        <v>32984</v>
      </c>
      <c r="O46" s="638"/>
      <c r="P46" s="640"/>
      <c r="Q46" s="638">
        <f>'[20]Table 5B1_RSD_Orleans'!$Q46</f>
        <v>103.83356164383562</v>
      </c>
      <c r="R46" s="638">
        <f t="shared" si="11"/>
        <v>10383.356164383562</v>
      </c>
      <c r="S46" s="956">
        <f t="shared" si="12"/>
        <v>368754.3561643836</v>
      </c>
      <c r="T46" s="967">
        <f>'Dec Midyear Adjustment'!O122</f>
        <v>73750.93905570972</v>
      </c>
      <c r="U46" s="967">
        <f>'March Midyear Adjustment'!M122</f>
        <v>3687.5469527854857</v>
      </c>
      <c r="V46" s="956">
        <f t="shared" si="13"/>
        <v>446192.8421728788</v>
      </c>
      <c r="W46" s="1160">
        <f>-'[22]RSD - Orleans'!$C44</f>
        <v>-11272</v>
      </c>
      <c r="X46" s="967">
        <f t="shared" si="14"/>
        <v>434920.8421728788</v>
      </c>
      <c r="Y46" s="641"/>
      <c r="Z46" s="641"/>
      <c r="AA46" s="641"/>
      <c r="AB46" s="957">
        <f t="shared" si="15"/>
        <v>434920.8421728788</v>
      </c>
      <c r="AC46" s="455"/>
      <c r="AD46" s="455"/>
      <c r="AE46" s="456"/>
    </row>
    <row r="47" spans="2:31" ht="30.75" customHeight="1">
      <c r="B47" s="828" t="s">
        <v>713</v>
      </c>
      <c r="C47" s="829">
        <f>'Table 8 Membership, 2.1.09'!R123</f>
        <v>252</v>
      </c>
      <c r="D47" s="641">
        <f t="shared" si="2"/>
        <v>3253.87339114165</v>
      </c>
      <c r="E47" s="641">
        <f t="shared" si="3"/>
        <v>819976</v>
      </c>
      <c r="F47" s="641"/>
      <c r="G47" s="647"/>
      <c r="H47" s="1154">
        <f>'[20]Table 5B1_RSD_Orleans'!$H47</f>
        <v>263.63432835820896</v>
      </c>
      <c r="I47" s="638">
        <f t="shared" si="5"/>
        <v>66435.85074626865</v>
      </c>
      <c r="J47" s="641"/>
      <c r="K47" s="640"/>
      <c r="L47" s="677">
        <f>'[20]Table 5B1_RSD_Orleans'!$L47</f>
        <v>52.88059701492537</v>
      </c>
      <c r="M47" s="638">
        <f t="shared" si="8"/>
        <v>13325.910447761193</v>
      </c>
      <c r="N47" s="638">
        <f t="shared" si="9"/>
        <v>79761.76119402985</v>
      </c>
      <c r="O47" s="638"/>
      <c r="P47" s="640"/>
      <c r="Q47" s="638">
        <f>'[20]Table 5B1_RSD_Orleans'!$Q47</f>
        <v>138.846921797005</v>
      </c>
      <c r="R47" s="638">
        <f t="shared" si="11"/>
        <v>34989.42429284526</v>
      </c>
      <c r="S47" s="956">
        <f t="shared" si="12"/>
        <v>934727.1854868751</v>
      </c>
      <c r="T47" s="967">
        <f>'Dec Midyear Adjustment'!O123</f>
        <v>463654.4047889736</v>
      </c>
      <c r="U47" s="967">
        <f>'March Midyear Adjustment'!M123</f>
        <v>9273.088095779472</v>
      </c>
      <c r="V47" s="956">
        <f t="shared" si="13"/>
        <v>1407654.6783716283</v>
      </c>
      <c r="W47" s="1160">
        <f>-'[22]RSD - Orleans'!$C45</f>
        <v>-28573</v>
      </c>
      <c r="X47" s="967">
        <f t="shared" si="14"/>
        <v>1379081.6783716283</v>
      </c>
      <c r="Y47" s="641"/>
      <c r="Z47" s="641"/>
      <c r="AA47" s="641"/>
      <c r="AB47" s="957">
        <f t="shared" si="15"/>
        <v>1379081.6783716283</v>
      </c>
      <c r="AC47" s="455"/>
      <c r="AD47" s="455"/>
      <c r="AE47" s="456"/>
    </row>
    <row r="48" spans="2:31" s="8" customFormat="1" ht="30" customHeight="1">
      <c r="B48" s="643" t="s">
        <v>279</v>
      </c>
      <c r="C48" s="736">
        <f>SUM(C11:C47)</f>
        <v>12000</v>
      </c>
      <c r="D48" s="737"/>
      <c r="E48" s="996">
        <f>SUM(E11:E47)</f>
        <v>39046480</v>
      </c>
      <c r="F48" s="738"/>
      <c r="G48" s="739"/>
      <c r="H48" s="736"/>
      <c r="I48" s="996">
        <f>SUM(I11:I47)</f>
        <v>2983479.8789908267</v>
      </c>
      <c r="J48" s="738"/>
      <c r="K48" s="736"/>
      <c r="L48" s="736"/>
      <c r="M48" s="740">
        <f>SUM(M11:M47)</f>
        <v>538954.1872296566</v>
      </c>
      <c r="N48" s="740">
        <f>SUM(N11:N47)</f>
        <v>3522434.0662204833</v>
      </c>
      <c r="O48" s="740"/>
      <c r="P48" s="741"/>
      <c r="Q48" s="736"/>
      <c r="R48" s="740">
        <f aca="true" t="shared" si="18" ref="R48:AB48">SUM(R11:R47)</f>
        <v>1301956.5491558104</v>
      </c>
      <c r="S48" s="1159">
        <f t="shared" si="18"/>
        <v>43870870.61537628</v>
      </c>
      <c r="T48" s="740">
        <f t="shared" si="18"/>
        <v>8695372.093610121</v>
      </c>
      <c r="U48" s="740">
        <f t="shared" si="18"/>
        <v>125976.87192943892</v>
      </c>
      <c r="V48" s="958">
        <f t="shared" si="18"/>
        <v>52692219.58091584</v>
      </c>
      <c r="W48" s="1161">
        <f>SUM(W11:W47)</f>
        <v>-1341056</v>
      </c>
      <c r="X48" s="1163">
        <f>SUM(X11:X47)</f>
        <v>51351163.58091584</v>
      </c>
      <c r="Y48" s="738">
        <f>SUM(Y11:Y47)</f>
        <v>91934.35999999999</v>
      </c>
      <c r="Z48" s="738">
        <f t="shared" si="18"/>
        <v>-35149.83702491322</v>
      </c>
      <c r="AA48" s="738">
        <f t="shared" si="18"/>
        <v>56784.52297508679</v>
      </c>
      <c r="AB48" s="958">
        <f t="shared" si="18"/>
        <v>51407948.10389092</v>
      </c>
      <c r="AC48" s="455"/>
      <c r="AD48" s="742"/>
      <c r="AE48" s="743"/>
    </row>
    <row r="49" spans="2:31" ht="8.25" customHeight="1">
      <c r="B49" s="961"/>
      <c r="C49" s="962"/>
      <c r="D49" s="963"/>
      <c r="E49" s="997"/>
      <c r="F49" s="964"/>
      <c r="G49" s="965"/>
      <c r="H49" s="964"/>
      <c r="I49" s="997"/>
      <c r="J49" s="964"/>
      <c r="K49" s="962"/>
      <c r="L49" s="964"/>
      <c r="M49" s="964"/>
      <c r="N49" s="964"/>
      <c r="O49" s="964"/>
      <c r="P49" s="964"/>
      <c r="Q49" s="964"/>
      <c r="R49" s="964"/>
      <c r="S49" s="964"/>
      <c r="T49" s="964"/>
      <c r="U49" s="964"/>
      <c r="V49" s="964"/>
      <c r="W49" s="964"/>
      <c r="X49" s="964"/>
      <c r="Y49" s="964"/>
      <c r="Z49" s="964"/>
      <c r="AA49" s="964"/>
      <c r="AB49" s="966"/>
      <c r="AC49" s="455"/>
      <c r="AD49" s="455"/>
      <c r="AE49" s="456"/>
    </row>
    <row r="50" spans="2:31" s="8" customFormat="1" ht="33" customHeight="1">
      <c r="B50" s="643" t="s">
        <v>280</v>
      </c>
      <c r="C50" s="736">
        <f>C48+C8</f>
        <v>23671</v>
      </c>
      <c r="D50" s="737"/>
      <c r="E50" s="996">
        <f>E48+E8</f>
        <v>77022436</v>
      </c>
      <c r="F50" s="738"/>
      <c r="G50" s="739"/>
      <c r="H50" s="736"/>
      <c r="I50" s="996">
        <f>I48+I8</f>
        <v>6974323.049834911</v>
      </c>
      <c r="J50" s="738"/>
      <c r="K50" s="736"/>
      <c r="L50" s="736"/>
      <c r="M50" s="740">
        <f>M48+M8</f>
        <v>1098113.6040191883</v>
      </c>
      <c r="N50" s="740">
        <f>N48+N8</f>
        <v>8072436.6538541</v>
      </c>
      <c r="O50" s="740"/>
      <c r="P50" s="741"/>
      <c r="Q50" s="736"/>
      <c r="R50" s="740">
        <f aca="true" t="shared" si="19" ref="R50:AB50">R48+R8</f>
        <v>2408799.4855217272</v>
      </c>
      <c r="S50" s="1159">
        <f t="shared" si="19"/>
        <v>87503672.1393758</v>
      </c>
      <c r="T50" s="740">
        <f t="shared" si="19"/>
        <v>8609385.079382008</v>
      </c>
      <c r="U50" s="740">
        <f t="shared" si="19"/>
        <v>613859.7135280843</v>
      </c>
      <c r="V50" s="958">
        <f t="shared" si="19"/>
        <v>96726916.9322859</v>
      </c>
      <c r="W50" s="1161">
        <f>W48+W8</f>
        <v>-2674836</v>
      </c>
      <c r="X50" s="1163">
        <f>X48+X8</f>
        <v>94052080.9322859</v>
      </c>
      <c r="Y50" s="738">
        <f t="shared" si="19"/>
        <v>91934.35999999999</v>
      </c>
      <c r="Z50" s="738">
        <f t="shared" si="19"/>
        <v>-614135.0851966776</v>
      </c>
      <c r="AA50" s="738">
        <f t="shared" si="19"/>
        <v>-522200.7251966776</v>
      </c>
      <c r="AB50" s="958">
        <f t="shared" si="19"/>
        <v>93529880.20708922</v>
      </c>
      <c r="AC50" s="455"/>
      <c r="AD50" s="742"/>
      <c r="AE50" s="743"/>
    </row>
    <row r="51" spans="2:31" ht="8.25" customHeight="1">
      <c r="B51" s="961"/>
      <c r="C51" s="962"/>
      <c r="D51" s="963"/>
      <c r="E51" s="964"/>
      <c r="F51" s="964"/>
      <c r="G51" s="965"/>
      <c r="H51" s="964"/>
      <c r="I51" s="964"/>
      <c r="J51" s="964"/>
      <c r="K51" s="962"/>
      <c r="L51" s="964"/>
      <c r="M51" s="964"/>
      <c r="N51" s="964"/>
      <c r="O51" s="964"/>
      <c r="P51" s="964"/>
      <c r="Q51" s="964"/>
      <c r="R51" s="964"/>
      <c r="S51" s="964"/>
      <c r="T51" s="964"/>
      <c r="U51" s="964"/>
      <c r="V51" s="964"/>
      <c r="W51" s="964"/>
      <c r="X51" s="964"/>
      <c r="Y51" s="964"/>
      <c r="Z51" s="964"/>
      <c r="AA51" s="964"/>
      <c r="AB51" s="966"/>
      <c r="AC51" s="455"/>
      <c r="AD51" s="455"/>
      <c r="AE51" s="456"/>
    </row>
    <row r="52" spans="2:31" ht="27.75" customHeight="1">
      <c r="B52" s="851" t="s">
        <v>791</v>
      </c>
      <c r="C52" s="989">
        <f>C50+C6</f>
        <v>33498</v>
      </c>
      <c r="D52" s="990"/>
      <c r="E52" s="991">
        <f>E50+E6</f>
        <v>108998250</v>
      </c>
      <c r="F52" s="991"/>
      <c r="G52" s="991"/>
      <c r="H52" s="991"/>
      <c r="I52" s="991">
        <f>I50+I6</f>
        <v>9527580.28970866</v>
      </c>
      <c r="J52" s="991"/>
      <c r="K52" s="992"/>
      <c r="L52" s="991"/>
      <c r="M52" s="991">
        <f>M50+M6</f>
        <v>1545025.5068071946</v>
      </c>
      <c r="N52" s="991">
        <f>N50+N6</f>
        <v>11072605.796515856</v>
      </c>
      <c r="O52" s="991"/>
      <c r="P52" s="991"/>
      <c r="Q52" s="991"/>
      <c r="R52" s="991">
        <f aca="true" t="shared" si="20" ref="R52:X52">R50+R6</f>
        <v>3485575.2997585377</v>
      </c>
      <c r="S52" s="993">
        <f t="shared" si="20"/>
        <v>123556431.09627438</v>
      </c>
      <c r="T52" s="994">
        <f t="shared" si="20"/>
        <v>9533908.861864474</v>
      </c>
      <c r="U52" s="994">
        <f t="shared" si="20"/>
        <v>613859.7135280843</v>
      </c>
      <c r="V52" s="993">
        <f t="shared" si="20"/>
        <v>133704199.67166695</v>
      </c>
      <c r="W52" s="1161">
        <f t="shared" si="20"/>
        <v>-3776906</v>
      </c>
      <c r="X52" s="1163">
        <f t="shared" si="20"/>
        <v>129927293.67166695</v>
      </c>
      <c r="Y52" s="991"/>
      <c r="Z52" s="738"/>
      <c r="AA52" s="738"/>
      <c r="AB52" s="993">
        <v>0</v>
      </c>
      <c r="AC52" s="455"/>
      <c r="AD52" s="455"/>
      <c r="AE52" s="456"/>
    </row>
    <row r="53" spans="2:31" ht="8.25" customHeight="1">
      <c r="B53" s="961"/>
      <c r="C53" s="962"/>
      <c r="D53" s="963"/>
      <c r="E53" s="997"/>
      <c r="F53" s="964"/>
      <c r="G53" s="965"/>
      <c r="H53" s="964"/>
      <c r="I53" s="997"/>
      <c r="J53" s="964"/>
      <c r="K53" s="962"/>
      <c r="L53" s="964"/>
      <c r="M53" s="964"/>
      <c r="N53" s="964"/>
      <c r="O53" s="964"/>
      <c r="P53" s="964"/>
      <c r="Q53" s="964"/>
      <c r="R53" s="964"/>
      <c r="S53" s="964"/>
      <c r="T53" s="964"/>
      <c r="U53" s="964"/>
      <c r="V53" s="964"/>
      <c r="W53" s="964"/>
      <c r="X53" s="964"/>
      <c r="Y53" s="964"/>
      <c r="Z53" s="964"/>
      <c r="AA53" s="964"/>
      <c r="AB53" s="966"/>
      <c r="AC53" s="455"/>
      <c r="AD53" s="455"/>
      <c r="AE53" s="456"/>
    </row>
    <row r="54" spans="2:31" s="2" customFormat="1" ht="33" customHeight="1">
      <c r="B54" s="1155" t="s">
        <v>813</v>
      </c>
      <c r="C54" s="637">
        <v>195</v>
      </c>
      <c r="D54" s="638">
        <v>3253.87339114165</v>
      </c>
      <c r="E54" s="1156">
        <v>634505</v>
      </c>
      <c r="F54" s="641">
        <v>40154</v>
      </c>
      <c r="G54" s="1157">
        <v>189</v>
      </c>
      <c r="H54" s="637">
        <v>212.45502645502646</v>
      </c>
      <c r="I54" s="1156">
        <v>41428.730158730155</v>
      </c>
      <c r="J54" s="641">
        <v>11810</v>
      </c>
      <c r="K54" s="637">
        <v>189</v>
      </c>
      <c r="L54" s="637">
        <v>62.48677248677249</v>
      </c>
      <c r="M54" s="967">
        <v>12184.920634920634</v>
      </c>
      <c r="N54" s="967">
        <v>53613.65079365079</v>
      </c>
      <c r="O54" s="967">
        <v>16477</v>
      </c>
      <c r="P54" s="640">
        <v>203</v>
      </c>
      <c r="Q54" s="637">
        <v>81.16748768472907</v>
      </c>
      <c r="R54" s="967">
        <v>15827.660098522168</v>
      </c>
      <c r="S54" s="1158">
        <v>703946.310892173</v>
      </c>
      <c r="T54" s="967">
        <f>'Dec Midyear Adjustment'!O124</f>
        <v>-703946.310892173</v>
      </c>
      <c r="U54" s="967">
        <v>0</v>
      </c>
      <c r="V54" s="957">
        <f>S54+T54</f>
        <v>0</v>
      </c>
      <c r="W54" s="1161">
        <v>0</v>
      </c>
      <c r="X54" s="967">
        <v>0</v>
      </c>
      <c r="Y54" s="641">
        <v>0</v>
      </c>
      <c r="Z54" s="641">
        <v>0</v>
      </c>
      <c r="AA54" s="641">
        <v>0</v>
      </c>
      <c r="AB54" s="957">
        <f>V54+Z54+Y54</f>
        <v>0</v>
      </c>
      <c r="AC54" s="455"/>
      <c r="AD54" s="455"/>
      <c r="AE54" s="456"/>
    </row>
    <row r="55" spans="2:31" ht="8.25" customHeight="1">
      <c r="B55" s="961"/>
      <c r="C55" s="962"/>
      <c r="D55" s="963"/>
      <c r="E55" s="964"/>
      <c r="F55" s="964"/>
      <c r="G55" s="965"/>
      <c r="H55" s="964"/>
      <c r="I55" s="964"/>
      <c r="J55" s="964"/>
      <c r="K55" s="962"/>
      <c r="L55" s="964"/>
      <c r="M55" s="964"/>
      <c r="N55" s="964"/>
      <c r="O55" s="964"/>
      <c r="P55" s="964"/>
      <c r="Q55" s="964"/>
      <c r="R55" s="964"/>
      <c r="S55" s="964"/>
      <c r="T55" s="964"/>
      <c r="U55" s="964"/>
      <c r="V55" s="964"/>
      <c r="W55" s="964"/>
      <c r="X55" s="964"/>
      <c r="Y55" s="964"/>
      <c r="Z55" s="964"/>
      <c r="AA55" s="964"/>
      <c r="AB55" s="966"/>
      <c r="AC55" s="455"/>
      <c r="AD55" s="455"/>
      <c r="AE55" s="456"/>
    </row>
    <row r="56" spans="2:31" s="2" customFormat="1" ht="33" customHeight="1">
      <c r="B56" s="851" t="s">
        <v>814</v>
      </c>
      <c r="C56" s="637">
        <f>C54+C52</f>
        <v>33693</v>
      </c>
      <c r="D56" s="638"/>
      <c r="E56" s="1156">
        <f>E54+E52</f>
        <v>109632755</v>
      </c>
      <c r="F56" s="641"/>
      <c r="G56" s="1157"/>
      <c r="H56" s="637"/>
      <c r="I56" s="1156">
        <f>I54+I52</f>
        <v>9569009.01986739</v>
      </c>
      <c r="J56" s="641"/>
      <c r="K56" s="637"/>
      <c r="L56" s="637"/>
      <c r="M56" s="967">
        <f>M54+M52</f>
        <v>1557210.4274421153</v>
      </c>
      <c r="N56" s="967">
        <f>N54+N52</f>
        <v>11126219.447309507</v>
      </c>
      <c r="O56" s="967"/>
      <c r="P56" s="640"/>
      <c r="Q56" s="637"/>
      <c r="R56" s="967">
        <f aca="true" t="shared" si="21" ref="R56:AB56">R54+R52</f>
        <v>3501402.9598570596</v>
      </c>
      <c r="S56" s="1158">
        <f t="shared" si="21"/>
        <v>124260377.40716656</v>
      </c>
      <c r="T56" s="967">
        <f t="shared" si="21"/>
        <v>8829962.550972302</v>
      </c>
      <c r="U56" s="967">
        <f t="shared" si="21"/>
        <v>613859.7135280843</v>
      </c>
      <c r="V56" s="957">
        <f t="shared" si="21"/>
        <v>133704199.67166695</v>
      </c>
      <c r="W56" s="1162">
        <f>W54+W52</f>
        <v>-3776906</v>
      </c>
      <c r="X56" s="677">
        <f>X54+X52</f>
        <v>129927293.67166695</v>
      </c>
      <c r="Y56" s="641">
        <f t="shared" si="21"/>
        <v>0</v>
      </c>
      <c r="Z56" s="641">
        <f t="shared" si="21"/>
        <v>0</v>
      </c>
      <c r="AA56" s="641">
        <f t="shared" si="21"/>
        <v>0</v>
      </c>
      <c r="AB56" s="957">
        <f t="shared" si="21"/>
        <v>0</v>
      </c>
      <c r="AC56" s="455"/>
      <c r="AD56" s="455"/>
      <c r="AE56" s="456"/>
    </row>
    <row r="57" spans="19:24" ht="12.75">
      <c r="S57" s="999"/>
      <c r="T57" s="999"/>
      <c r="U57" s="999"/>
      <c r="W57" s="999"/>
      <c r="X57" s="999"/>
    </row>
  </sheetData>
  <sheetProtection/>
  <mergeCells count="28">
    <mergeCell ref="Y3:Y4"/>
    <mergeCell ref="O3:O4"/>
    <mergeCell ref="V3:V4"/>
    <mergeCell ref="J3:J4"/>
    <mergeCell ref="T3:T4"/>
    <mergeCell ref="W3:W4"/>
    <mergeCell ref="X3:X4"/>
    <mergeCell ref="U3:U4"/>
    <mergeCell ref="Z3:Z4"/>
    <mergeCell ref="M3:M4"/>
    <mergeCell ref="S3:S4"/>
    <mergeCell ref="F3:F4"/>
    <mergeCell ref="G3:G4"/>
    <mergeCell ref="C3:C4"/>
    <mergeCell ref="Q3:Q4"/>
    <mergeCell ref="I3:I4"/>
    <mergeCell ref="K3:K4"/>
    <mergeCell ref="H3:H4"/>
    <mergeCell ref="B3:B4"/>
    <mergeCell ref="E3:E4"/>
    <mergeCell ref="AB3:AB4"/>
    <mergeCell ref="F2:I2"/>
    <mergeCell ref="J2:N2"/>
    <mergeCell ref="O2:R2"/>
    <mergeCell ref="R3:R4"/>
    <mergeCell ref="L3:L4"/>
    <mergeCell ref="N3:N4"/>
    <mergeCell ref="P3:P4"/>
  </mergeCells>
  <printOptions horizontalCentered="1"/>
  <pageMargins left="0.2" right="0.2" top="1.02" bottom="0.5" header="0.47" footer="0.44"/>
  <pageSetup firstPageNumber="21" useFirstPageNumber="1" fitToHeight="2" horizontalDpi="600" verticalDpi="600" orientation="portrait" paperSize="5" scale="53" r:id="rId1"/>
  <headerFooter alignWithMargins="0">
    <oddHeader>&amp;L&amp;"Arial,Bold"&amp;22Table 5B-1:  FY2009-2010 MFP Budget Letter
Recovery School District (Orleans Parish - March 2010) 
&amp;R
</oddHeader>
    <oddFooter>&amp;L&amp;14*FY09/10 Transformation Schools funded based on projected student counts that will be adjusted to actual 10/1/09.
Note: Final per pupil amount paid to schools in the RSD will include an adjustment for RSD administrative costs.&amp;R&amp;16&amp;P</oddFooter>
  </headerFooter>
  <colBreaks count="3" manualBreakCount="3">
    <brk id="9" max="55" man="1"/>
    <brk id="14" max="55" man="1"/>
    <brk id="2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zoomScalePageLayoutView="0" workbookViewId="0" topLeftCell="A1">
      <pane xSplit="2" ySplit="6" topLeftCell="C7" activePane="bottomRight" state="frozen"/>
      <selection pane="topLeft" activeCell="N66" sqref="N66"/>
      <selection pane="topRight" activeCell="N66" sqref="N66"/>
      <selection pane="bottomLeft" activeCell="N66" sqref="N66"/>
      <selection pane="bottomRight" activeCell="A34" sqref="A34:IV42"/>
    </sheetView>
  </sheetViews>
  <sheetFormatPr defaultColWidth="9.140625" defaultRowHeight="12.75"/>
  <cols>
    <col min="2" max="2" width="33.140625" style="0" customWidth="1"/>
    <col min="3" max="3" width="12.140625" style="0" bestFit="1" customWidth="1"/>
    <col min="4" max="4" width="13.57421875" style="0" customWidth="1"/>
    <col min="5" max="5" width="18.57421875" style="0" customWidth="1"/>
    <col min="6" max="6" width="14.140625" style="0" customWidth="1"/>
    <col min="7" max="7" width="17.00390625" style="0" customWidth="1"/>
    <col min="8" max="8" width="14.140625" style="0" customWidth="1"/>
    <col min="9" max="9" width="14.8515625" style="0" customWidth="1"/>
    <col min="10" max="10" width="17.00390625" style="0" customWidth="1"/>
    <col min="11" max="11" width="15.8515625" style="0" customWidth="1"/>
    <col min="12" max="12" width="15.140625" style="0" customWidth="1"/>
    <col min="13" max="13" width="13.8515625" style="0" customWidth="1"/>
    <col min="14" max="14" width="15.8515625" style="0" customWidth="1"/>
    <col min="15" max="16" width="20.57421875" style="911" customWidth="1"/>
    <col min="17" max="17" width="19.8515625" style="911" customWidth="1"/>
    <col min="18" max="21" width="19.7109375" style="0" customWidth="1"/>
    <col min="22" max="22" width="19.421875" style="0" customWidth="1"/>
    <col min="23" max="23" width="24.8515625" style="0" customWidth="1"/>
    <col min="24" max="24" width="19.421875" style="0" customWidth="1"/>
    <col min="25" max="25" width="18.8515625" style="0" customWidth="1"/>
    <col min="26" max="26" width="17.00390625" style="0" customWidth="1"/>
  </cols>
  <sheetData>
    <row r="1" ht="15.75">
      <c r="B1" s="364"/>
    </row>
    <row r="2" spans="2:24" ht="22.5" customHeight="1"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1018"/>
      <c r="P2" s="1018"/>
      <c r="Q2" s="1018"/>
      <c r="R2" s="704"/>
      <c r="S2" s="704"/>
      <c r="T2" s="704"/>
      <c r="U2" s="704"/>
      <c r="V2" s="457"/>
      <c r="W2" s="457"/>
      <c r="X2" s="457"/>
    </row>
    <row r="3" spans="3:24" ht="41.25" customHeight="1">
      <c r="C3" s="93"/>
      <c r="D3" s="655"/>
      <c r="E3" s="95"/>
      <c r="F3" s="1401" t="s">
        <v>478</v>
      </c>
      <c r="G3" s="1394"/>
      <c r="H3" s="1394"/>
      <c r="I3" s="1394"/>
      <c r="J3" s="1395"/>
      <c r="K3" s="1376" t="s">
        <v>664</v>
      </c>
      <c r="L3" s="1402"/>
      <c r="M3" s="1402"/>
      <c r="N3" s="1403"/>
      <c r="O3" s="1164"/>
      <c r="P3" s="1165"/>
      <c r="Q3" s="1165"/>
      <c r="R3" s="95"/>
      <c r="S3" s="95"/>
      <c r="T3" s="95"/>
      <c r="U3" s="95"/>
      <c r="V3" s="93"/>
      <c r="W3" s="93"/>
      <c r="X3" s="93"/>
    </row>
    <row r="4" spans="2:24" ht="156" customHeight="1">
      <c r="B4" s="1315" t="s">
        <v>408</v>
      </c>
      <c r="C4" s="1396" t="s">
        <v>85</v>
      </c>
      <c r="D4" s="87" t="s">
        <v>660</v>
      </c>
      <c r="E4" s="1312" t="s">
        <v>275</v>
      </c>
      <c r="F4" s="1315" t="s">
        <v>445</v>
      </c>
      <c r="G4" s="1371" t="s">
        <v>471</v>
      </c>
      <c r="H4" s="1315" t="s">
        <v>446</v>
      </c>
      <c r="I4" s="1371" t="s">
        <v>472</v>
      </c>
      <c r="J4" s="1312" t="s">
        <v>246</v>
      </c>
      <c r="K4" s="1355" t="s">
        <v>663</v>
      </c>
      <c r="L4" s="1351" t="s">
        <v>482</v>
      </c>
      <c r="M4" s="1315" t="s">
        <v>20</v>
      </c>
      <c r="N4" s="1355" t="s">
        <v>21</v>
      </c>
      <c r="O4" s="1398" t="s">
        <v>817</v>
      </c>
      <c r="P4" s="1398" t="s">
        <v>842</v>
      </c>
      <c r="Q4" s="1398" t="s">
        <v>818</v>
      </c>
      <c r="R4" s="1318" t="s">
        <v>819</v>
      </c>
      <c r="S4" s="1312" t="s">
        <v>820</v>
      </c>
      <c r="T4" s="696" t="s">
        <v>178</v>
      </c>
      <c r="U4" s="1315" t="s">
        <v>821</v>
      </c>
      <c r="V4" s="227"/>
      <c r="W4" s="227"/>
      <c r="X4" s="227"/>
    </row>
    <row r="5" spans="1:24" ht="17.25" customHeight="1">
      <c r="A5" t="s">
        <v>272</v>
      </c>
      <c r="B5" s="1317"/>
      <c r="C5" s="1397"/>
      <c r="D5" s="476"/>
      <c r="E5" s="1314"/>
      <c r="F5" s="1317"/>
      <c r="G5" s="1314"/>
      <c r="H5" s="1317"/>
      <c r="I5" s="1372"/>
      <c r="J5" s="1314"/>
      <c r="K5" s="1317"/>
      <c r="L5" s="1317"/>
      <c r="M5" s="1317"/>
      <c r="N5" s="1317"/>
      <c r="O5" s="1399"/>
      <c r="P5" s="1399"/>
      <c r="Q5" s="1399"/>
      <c r="R5" s="1320"/>
      <c r="S5" s="1314"/>
      <c r="T5" s="731"/>
      <c r="U5" s="1317"/>
      <c r="V5" s="228"/>
      <c r="W5" s="228"/>
      <c r="X5" s="228"/>
    </row>
    <row r="6" spans="2:24" ht="12.75">
      <c r="B6" s="140"/>
      <c r="C6" s="296">
        <v>1</v>
      </c>
      <c r="D6" s="296">
        <f>C6+1</f>
        <v>2</v>
      </c>
      <c r="E6" s="296">
        <f>D6+1</f>
        <v>3</v>
      </c>
      <c r="F6" s="296">
        <f aca="true" t="shared" si="0" ref="F6:N6">E6+1</f>
        <v>4</v>
      </c>
      <c r="G6" s="296">
        <f t="shared" si="0"/>
        <v>5</v>
      </c>
      <c r="H6" s="296">
        <f t="shared" si="0"/>
        <v>6</v>
      </c>
      <c r="I6" s="296">
        <f t="shared" si="0"/>
        <v>7</v>
      </c>
      <c r="J6" s="296">
        <f t="shared" si="0"/>
        <v>8</v>
      </c>
      <c r="K6" s="296">
        <f t="shared" si="0"/>
        <v>9</v>
      </c>
      <c r="L6" s="296">
        <f t="shared" si="0"/>
        <v>10</v>
      </c>
      <c r="M6" s="296">
        <f t="shared" si="0"/>
        <v>11</v>
      </c>
      <c r="N6" s="296">
        <f t="shared" si="0"/>
        <v>12</v>
      </c>
      <c r="O6" s="296">
        <f aca="true" t="shared" si="1" ref="O6:U6">N6+1</f>
        <v>13</v>
      </c>
      <c r="P6" s="296">
        <f t="shared" si="1"/>
        <v>14</v>
      </c>
      <c r="Q6" s="296">
        <f t="shared" si="1"/>
        <v>15</v>
      </c>
      <c r="R6" s="296">
        <f t="shared" si="1"/>
        <v>16</v>
      </c>
      <c r="S6" s="296">
        <f t="shared" si="1"/>
        <v>17</v>
      </c>
      <c r="T6" s="296">
        <f t="shared" si="1"/>
        <v>18</v>
      </c>
      <c r="U6" s="296">
        <f t="shared" si="1"/>
        <v>19</v>
      </c>
      <c r="V6" s="454"/>
      <c r="W6" s="454"/>
      <c r="X6" s="454"/>
    </row>
    <row r="7" spans="2:24" s="132" customFormat="1" ht="34.5" customHeight="1">
      <c r="B7" s="830" t="s">
        <v>667</v>
      </c>
      <c r="C7" s="858">
        <f>'Table 8 Membership, 2.1.09'!R21-C17</f>
        <v>39870</v>
      </c>
      <c r="D7" s="859">
        <f>'Table 3 Levels 1&amp;2'!$AL$24</f>
        <v>3632.310699762789</v>
      </c>
      <c r="E7" s="852">
        <f>ROUND(C7*D7,0)</f>
        <v>144820228</v>
      </c>
      <c r="F7" s="1024">
        <f>'Table 4 Level 3'!$W$22</f>
        <v>248.23</v>
      </c>
      <c r="G7" s="852">
        <f>ROUND(F7*C7,0)</f>
        <v>9896930</v>
      </c>
      <c r="H7" s="1021">
        <f>'Table 4 Level 3'!$AA$22</f>
        <v>61.01</v>
      </c>
      <c r="I7" s="852">
        <f>H7*C7</f>
        <v>2432468.6999999997</v>
      </c>
      <c r="J7" s="852">
        <f>G7+I7</f>
        <v>12329398.7</v>
      </c>
      <c r="K7" s="853">
        <f>'[12]Total Pay Increase'!$J$22</f>
        <v>4775517</v>
      </c>
      <c r="L7" s="854">
        <f>'[8]Base Membership'!$E$24</f>
        <v>42221</v>
      </c>
      <c r="M7" s="1024">
        <f>K7/L7</f>
        <v>113.10762416806803</v>
      </c>
      <c r="N7" s="852">
        <f>M7*C7</f>
        <v>4509600.975580872</v>
      </c>
      <c r="O7" s="852">
        <f>'Dec Midyear Adjustment'!O22</f>
        <v>3259945.292440409</v>
      </c>
      <c r="P7" s="852">
        <f>'March Midyear Adjustment'!M22</f>
        <v>287880.74099909083</v>
      </c>
      <c r="Q7" s="852">
        <f>J7+E7+N7+O7+P7</f>
        <v>165207053.70902038</v>
      </c>
      <c r="R7" s="1166">
        <f>-'[22]RSD - LA'!$C5</f>
        <v>-4962462</v>
      </c>
      <c r="S7" s="968">
        <f>Q7+R7</f>
        <v>160244591.70902038</v>
      </c>
      <c r="T7" s="849" t="s">
        <v>666</v>
      </c>
      <c r="U7" s="849" t="s">
        <v>666</v>
      </c>
      <c r="V7" s="855"/>
      <c r="W7" s="855"/>
      <c r="X7" s="856"/>
    </row>
    <row r="8" spans="2:24" s="95" customFormat="1" ht="6" customHeight="1">
      <c r="B8" s="831"/>
      <c r="C8" s="832"/>
      <c r="D8" s="833"/>
      <c r="E8" s="834"/>
      <c r="F8" s="1025"/>
      <c r="G8" s="834"/>
      <c r="H8" s="1022"/>
      <c r="I8" s="834"/>
      <c r="J8" s="834"/>
      <c r="K8" s="834"/>
      <c r="L8" s="834"/>
      <c r="M8" s="1025"/>
      <c r="N8" s="834"/>
      <c r="O8" s="1020"/>
      <c r="P8" s="1020"/>
      <c r="Q8" s="1020"/>
      <c r="R8" s="834"/>
      <c r="S8" s="834"/>
      <c r="T8" s="834"/>
      <c r="U8" s="834"/>
      <c r="V8" s="674"/>
      <c r="W8" s="674"/>
      <c r="X8" s="454"/>
    </row>
    <row r="9" spans="2:24" ht="34.5" customHeight="1">
      <c r="B9" s="654" t="s">
        <v>648</v>
      </c>
      <c r="C9" s="711">
        <f>'Table 8 Membership, 2.1.09'!R127</f>
        <v>425</v>
      </c>
      <c r="D9" s="712">
        <f>'Table 3 Levels 1&amp;2'!$AL$24</f>
        <v>3632.310699762789</v>
      </c>
      <c r="E9" s="672">
        <f aca="true" t="shared" si="2" ref="E9:E16">ROUND(C9*D9,0)</f>
        <v>1543732</v>
      </c>
      <c r="F9" s="1026">
        <f>'Table 4 Level 3'!$W$22</f>
        <v>248.23</v>
      </c>
      <c r="G9" s="672">
        <f aca="true" t="shared" si="3" ref="G9:G16">ROUND(F9*C9,0)</f>
        <v>105498</v>
      </c>
      <c r="H9" s="1023">
        <f>'Table 4 Level 3'!$AA$22</f>
        <v>61.01</v>
      </c>
      <c r="I9" s="672">
        <f aca="true" t="shared" si="4" ref="I9:I16">H9*C9</f>
        <v>25929.25</v>
      </c>
      <c r="J9" s="672">
        <f aca="true" t="shared" si="5" ref="J9:J16">G9+I9</f>
        <v>131427.25</v>
      </c>
      <c r="K9" s="672">
        <f>'[12]Type 5 Charters - LA'!C5</f>
        <v>47929</v>
      </c>
      <c r="L9" s="744">
        <f>'[10]Sheet1'!D8</f>
        <v>465</v>
      </c>
      <c r="M9" s="1026">
        <f>K9/L9</f>
        <v>103.0731182795699</v>
      </c>
      <c r="N9" s="672">
        <f aca="true" t="shared" si="6" ref="N9:N16">M9*C9</f>
        <v>43806.07526881721</v>
      </c>
      <c r="O9" s="672">
        <f>'Dec Midyear Adjustment'!O127</f>
        <v>0</v>
      </c>
      <c r="P9" s="672">
        <f>'March Midyear Adjustment'!M126</f>
        <v>0</v>
      </c>
      <c r="Q9" s="672">
        <f aca="true" t="shared" si="7" ref="Q9:Q16">J9+E9+N9+O9+P9</f>
        <v>1718965.3252688171</v>
      </c>
      <c r="R9" s="1167">
        <f>-'[22]RSD - LA'!$C7</f>
        <v>-52546</v>
      </c>
      <c r="S9" s="969">
        <f aca="true" t="shared" si="8" ref="S9:S16">Q9+R9</f>
        <v>1666419.3252688171</v>
      </c>
      <c r="T9" s="672">
        <f>'[14]Audit Adjs - TOTAL'!F132</f>
        <v>-3945.1406799921688</v>
      </c>
      <c r="U9" s="672">
        <f>SUM(S9:T9)</f>
        <v>1662474.1845888249</v>
      </c>
      <c r="V9" s="455"/>
      <c r="W9" s="455"/>
      <c r="X9" s="456"/>
    </row>
    <row r="10" spans="2:24" ht="34.5" customHeight="1">
      <c r="B10" s="654" t="s">
        <v>649</v>
      </c>
      <c r="C10" s="711">
        <f>'Table 8 Membership, 2.1.09'!R128</f>
        <v>421</v>
      </c>
      <c r="D10" s="712">
        <f>'Table 3 Levels 1&amp;2'!$AL$24</f>
        <v>3632.310699762789</v>
      </c>
      <c r="E10" s="672">
        <f t="shared" si="2"/>
        <v>1529203</v>
      </c>
      <c r="F10" s="1026">
        <f>'Table 4 Level 3'!$W$22</f>
        <v>248.23</v>
      </c>
      <c r="G10" s="672">
        <f t="shared" si="3"/>
        <v>104505</v>
      </c>
      <c r="H10" s="1023">
        <f>'Table 4 Level 3'!$AA$22</f>
        <v>61.01</v>
      </c>
      <c r="I10" s="672">
        <f t="shared" si="4"/>
        <v>25685.21</v>
      </c>
      <c r="J10" s="672">
        <f t="shared" si="5"/>
        <v>130190.20999999999</v>
      </c>
      <c r="K10" s="672">
        <f>'[12]Type 5 Charters - LA'!C6</f>
        <v>50419</v>
      </c>
      <c r="L10" s="744">
        <f>'[10]Sheet1'!D9</f>
        <v>442</v>
      </c>
      <c r="M10" s="1026">
        <f>K10/L10</f>
        <v>114.07013574660634</v>
      </c>
      <c r="N10" s="672">
        <f t="shared" si="6"/>
        <v>48023.52714932127</v>
      </c>
      <c r="O10" s="672">
        <f>'Dec Midyear Adjustment'!O128</f>
        <v>0</v>
      </c>
      <c r="P10" s="672">
        <f>'March Midyear Adjustment'!M127</f>
        <v>0</v>
      </c>
      <c r="Q10" s="672">
        <f t="shared" si="7"/>
        <v>1707416.7371493212</v>
      </c>
      <c r="R10" s="1167">
        <f>-'[22]RSD - LA'!$C8</f>
        <v>-52193</v>
      </c>
      <c r="S10" s="969">
        <f t="shared" si="8"/>
        <v>1655223.7371493212</v>
      </c>
      <c r="T10" s="672">
        <f>'[14]Audit Adjs - TOTAL'!F133</f>
        <v>0</v>
      </c>
      <c r="U10" s="672">
        <f aca="true" t="shared" si="9" ref="U10:U16">SUM(S10:T10)</f>
        <v>1655223.7371493212</v>
      </c>
      <c r="V10" s="455"/>
      <c r="W10" s="455"/>
      <c r="X10" s="456"/>
    </row>
    <row r="11" spans="2:24" ht="34.5" customHeight="1">
      <c r="B11" s="654" t="s">
        <v>650</v>
      </c>
      <c r="C11" s="711">
        <f>'Table 8 Membership, 2.1.09'!R129</f>
        <v>198</v>
      </c>
      <c r="D11" s="712">
        <f>'Table 3 Levels 1&amp;2'!$AL$24</f>
        <v>3632.310699762789</v>
      </c>
      <c r="E11" s="672">
        <f t="shared" si="2"/>
        <v>719198</v>
      </c>
      <c r="F11" s="1026">
        <f>'Table 4 Level 3'!$W$22</f>
        <v>248.23</v>
      </c>
      <c r="G11" s="672">
        <f t="shared" si="3"/>
        <v>49150</v>
      </c>
      <c r="H11" s="1023">
        <f>'Table 4 Level 3'!$AA$22</f>
        <v>61.01</v>
      </c>
      <c r="I11" s="672">
        <f t="shared" si="4"/>
        <v>12079.98</v>
      </c>
      <c r="J11" s="672">
        <f t="shared" si="5"/>
        <v>61229.979999999996</v>
      </c>
      <c r="K11" s="672">
        <f>'[12]Type 5 Charters - LA'!C7</f>
        <v>14123</v>
      </c>
      <c r="L11" s="744">
        <f>'[10]Sheet1'!D10</f>
        <v>182</v>
      </c>
      <c r="M11" s="1026">
        <f>K11/L11</f>
        <v>77.5989010989011</v>
      </c>
      <c r="N11" s="672">
        <f t="shared" si="6"/>
        <v>15364.582417582416</v>
      </c>
      <c r="O11" s="672">
        <f>'Dec Midyear Adjustment'!O129</f>
        <v>60287.24401292535</v>
      </c>
      <c r="P11" s="672">
        <f>'March Midyear Adjustment'!M128</f>
        <v>0</v>
      </c>
      <c r="Q11" s="672">
        <f t="shared" si="7"/>
        <v>856079.8064305077</v>
      </c>
      <c r="R11" s="1167">
        <f>-'[22]RSD - LA'!$C9</f>
        <v>-24326</v>
      </c>
      <c r="S11" s="969">
        <f t="shared" si="8"/>
        <v>831753.8064305077</v>
      </c>
      <c r="T11" s="672">
        <f>'[14]Audit Adjs - TOTAL'!F134</f>
        <v>0</v>
      </c>
      <c r="U11" s="672">
        <f t="shared" si="9"/>
        <v>831753.8064305077</v>
      </c>
      <c r="V11" s="455"/>
      <c r="W11" s="455"/>
      <c r="X11" s="456"/>
    </row>
    <row r="12" spans="2:24" ht="34.5" customHeight="1">
      <c r="B12" s="654" t="s">
        <v>651</v>
      </c>
      <c r="C12" s="711">
        <f>'Table 8 Membership, 2.1.09'!R130</f>
        <v>191</v>
      </c>
      <c r="D12" s="712">
        <f>'Table 3 Levels 1&amp;2'!$AL$24</f>
        <v>3632.310699762789</v>
      </c>
      <c r="E12" s="672">
        <f t="shared" si="2"/>
        <v>693771</v>
      </c>
      <c r="F12" s="1026">
        <f>'Table 4 Level 3'!$W$22</f>
        <v>248.23</v>
      </c>
      <c r="G12" s="672">
        <f t="shared" si="3"/>
        <v>47412</v>
      </c>
      <c r="H12" s="1023">
        <f>'Table 4 Level 3'!$AA$22</f>
        <v>61.01</v>
      </c>
      <c r="I12" s="672">
        <f t="shared" si="4"/>
        <v>11652.91</v>
      </c>
      <c r="J12" s="672">
        <f t="shared" si="5"/>
        <v>59064.91</v>
      </c>
      <c r="K12" s="672">
        <f>'[12]Type 5 Charters - LA'!C8</f>
        <v>15293</v>
      </c>
      <c r="L12" s="744">
        <f>'[10]Sheet1'!D11</f>
        <v>194</v>
      </c>
      <c r="M12" s="1026">
        <f>K12/L12</f>
        <v>78.8298969072165</v>
      </c>
      <c r="N12" s="672">
        <f t="shared" si="6"/>
        <v>15056.51030927835</v>
      </c>
      <c r="O12" s="672">
        <f>'Dec Midyear Adjustment'!O130</f>
        <v>0</v>
      </c>
      <c r="P12" s="672">
        <f>'March Midyear Adjustment'!M129</f>
        <v>20101.902983350028</v>
      </c>
      <c r="Q12" s="672">
        <f t="shared" si="7"/>
        <v>787994.3232926284</v>
      </c>
      <c r="R12" s="1167">
        <f>-'[22]RSD - LA'!$C10</f>
        <v>-23473</v>
      </c>
      <c r="S12" s="969">
        <f t="shared" si="8"/>
        <v>764521.3232926284</v>
      </c>
      <c r="T12" s="672">
        <f>'[14]Audit Adjs - TOTAL'!F135</f>
        <v>-15780.562719968675</v>
      </c>
      <c r="U12" s="672">
        <f t="shared" si="9"/>
        <v>748740.7605726597</v>
      </c>
      <c r="V12" s="455"/>
      <c r="W12" s="455"/>
      <c r="X12" s="456"/>
    </row>
    <row r="13" spans="2:24" ht="34.5" customHeight="1">
      <c r="B13" s="1004" t="s">
        <v>68</v>
      </c>
      <c r="C13" s="711">
        <f>'Table 8 Membership, 2.1.09'!R133</f>
        <v>364</v>
      </c>
      <c r="D13" s="712">
        <f>'Table 3 Levels 1&amp;2'!$AL$24</f>
        <v>3632.310699762789</v>
      </c>
      <c r="E13" s="672">
        <f t="shared" si="2"/>
        <v>1322161</v>
      </c>
      <c r="F13" s="1026">
        <f>'Table 4 Level 3'!$W$22</f>
        <v>248.23</v>
      </c>
      <c r="G13" s="672">
        <f t="shared" si="3"/>
        <v>90356</v>
      </c>
      <c r="H13" s="1023">
        <f>'Table 4 Level 3'!$AA$22</f>
        <v>61.01</v>
      </c>
      <c r="I13" s="672">
        <f t="shared" si="4"/>
        <v>22207.64</v>
      </c>
      <c r="J13" s="672">
        <f t="shared" si="5"/>
        <v>112563.64</v>
      </c>
      <c r="K13" s="672"/>
      <c r="L13" s="744"/>
      <c r="M13" s="1026">
        <f>$M$40</f>
        <v>112.70873942625965</v>
      </c>
      <c r="N13" s="672">
        <f t="shared" si="6"/>
        <v>41025.981151158514</v>
      </c>
      <c r="O13" s="672">
        <f>'Dec Midyear Adjustment'!O131</f>
        <v>-77030.92934459193</v>
      </c>
      <c r="P13" s="672">
        <f>'March Midyear Adjustment'!M130</f>
        <v>0</v>
      </c>
      <c r="Q13" s="672">
        <f t="shared" si="7"/>
        <v>1398719.6918065664</v>
      </c>
      <c r="R13" s="1167">
        <f>-'[22]RSD - LA'!$C11</f>
        <v>-45111</v>
      </c>
      <c r="S13" s="969">
        <f t="shared" si="8"/>
        <v>1353608.6918065664</v>
      </c>
      <c r="T13" s="672">
        <v>0</v>
      </c>
      <c r="U13" s="672">
        <f t="shared" si="9"/>
        <v>1353608.6918065664</v>
      </c>
      <c r="V13" s="455"/>
      <c r="W13" s="455"/>
      <c r="X13" s="456"/>
    </row>
    <row r="14" spans="2:24" ht="34.5" customHeight="1">
      <c r="B14" s="1004" t="s">
        <v>67</v>
      </c>
      <c r="C14" s="711">
        <f>'Table 8 Membership, 2.1.09'!R134</f>
        <v>284</v>
      </c>
      <c r="D14" s="712">
        <f>'Table 3 Levels 1&amp;2'!$AL$24</f>
        <v>3632.310699762789</v>
      </c>
      <c r="E14" s="672">
        <f t="shared" si="2"/>
        <v>1031576</v>
      </c>
      <c r="F14" s="1026">
        <f>'Table 4 Level 3'!$W$22</f>
        <v>248.23</v>
      </c>
      <c r="G14" s="672">
        <f t="shared" si="3"/>
        <v>70497</v>
      </c>
      <c r="H14" s="1023">
        <f>'Table 4 Level 3'!$AA$22</f>
        <v>61.01</v>
      </c>
      <c r="I14" s="672">
        <f t="shared" si="4"/>
        <v>17326.84</v>
      </c>
      <c r="J14" s="672">
        <f t="shared" si="5"/>
        <v>87823.84</v>
      </c>
      <c r="K14" s="672"/>
      <c r="L14" s="744"/>
      <c r="M14" s="1026">
        <f>$M$40</f>
        <v>112.70873942625965</v>
      </c>
      <c r="N14" s="672">
        <f t="shared" si="6"/>
        <v>32009.28199705774</v>
      </c>
      <c r="O14" s="672">
        <f>'Dec Midyear Adjustment'!O132</f>
        <v>-36488.334952701436</v>
      </c>
      <c r="P14" s="672">
        <f>'March Midyear Adjustment'!M131</f>
        <v>0</v>
      </c>
      <c r="Q14" s="672">
        <f t="shared" si="7"/>
        <v>1114920.7870443566</v>
      </c>
      <c r="R14" s="1167">
        <f>-'[22]RSD - LA'!$C12</f>
        <v>-35197</v>
      </c>
      <c r="S14" s="969">
        <f t="shared" si="8"/>
        <v>1079723.7870443566</v>
      </c>
      <c r="T14" s="672">
        <v>0</v>
      </c>
      <c r="U14" s="672">
        <f t="shared" si="9"/>
        <v>1079723.7870443566</v>
      </c>
      <c r="V14" s="455"/>
      <c r="W14" s="455"/>
      <c r="X14" s="456"/>
    </row>
    <row r="15" spans="2:24" ht="34.5" customHeight="1">
      <c r="B15" s="1004" t="s">
        <v>70</v>
      </c>
      <c r="C15" s="711">
        <f>'Table 8 Membership, 2.1.09'!R137</f>
        <v>536</v>
      </c>
      <c r="D15" s="712">
        <f>'Table 3 Levels 1&amp;2'!$AL$24</f>
        <v>3632.310699762789</v>
      </c>
      <c r="E15" s="672">
        <f t="shared" si="2"/>
        <v>1946919</v>
      </c>
      <c r="F15" s="1026">
        <f>'Table 4 Level 3'!$W$22</f>
        <v>248.23</v>
      </c>
      <c r="G15" s="672">
        <f t="shared" si="3"/>
        <v>133051</v>
      </c>
      <c r="H15" s="1023">
        <f>'Table 4 Level 3'!$AA$22</f>
        <v>61.01</v>
      </c>
      <c r="I15" s="672">
        <f t="shared" si="4"/>
        <v>32701.36</v>
      </c>
      <c r="J15" s="672">
        <f t="shared" si="5"/>
        <v>165752.36</v>
      </c>
      <c r="K15" s="672"/>
      <c r="L15" s="744"/>
      <c r="M15" s="1026">
        <f>$M$40</f>
        <v>112.70873942625965</v>
      </c>
      <c r="N15" s="672">
        <f t="shared" si="6"/>
        <v>60411.88433247517</v>
      </c>
      <c r="O15" s="672">
        <f>'Dec Midyear Adjustment'!O133</f>
        <v>-429751.5005540392</v>
      </c>
      <c r="P15" s="672">
        <f>'March Midyear Adjustment'!M132</f>
        <v>0</v>
      </c>
      <c r="Q15" s="672">
        <f t="shared" si="7"/>
        <v>1743331.743778436</v>
      </c>
      <c r="R15" s="1167">
        <f>-'[22]RSD - LA'!$C13</f>
        <v>-66427</v>
      </c>
      <c r="S15" s="969">
        <f t="shared" si="8"/>
        <v>1676904.743778436</v>
      </c>
      <c r="T15" s="672">
        <v>0</v>
      </c>
      <c r="U15" s="672">
        <f t="shared" si="9"/>
        <v>1676904.743778436</v>
      </c>
      <c r="V15" s="455"/>
      <c r="W15" s="455"/>
      <c r="X15" s="456"/>
    </row>
    <row r="16" spans="2:24" ht="34.5" customHeight="1">
      <c r="B16" s="1004" t="s">
        <v>69</v>
      </c>
      <c r="C16" s="711">
        <f>'Table 8 Membership, 2.1.09'!R138</f>
        <v>613</v>
      </c>
      <c r="D16" s="712">
        <f>'Table 3 Levels 1&amp;2'!$AL$24</f>
        <v>3632.310699762789</v>
      </c>
      <c r="E16" s="672">
        <f t="shared" si="2"/>
        <v>2226606</v>
      </c>
      <c r="F16" s="1026">
        <f>'Table 4 Level 3'!$W$22</f>
        <v>248.23</v>
      </c>
      <c r="G16" s="672">
        <f t="shared" si="3"/>
        <v>152165</v>
      </c>
      <c r="H16" s="1023">
        <f>'Table 4 Level 3'!$AA$22</f>
        <v>61.01</v>
      </c>
      <c r="I16" s="672">
        <f t="shared" si="4"/>
        <v>37399.13</v>
      </c>
      <c r="J16" s="672">
        <f t="shared" si="5"/>
        <v>189564.13</v>
      </c>
      <c r="K16" s="672"/>
      <c r="L16" s="744"/>
      <c r="M16" s="1026">
        <f>$M$40</f>
        <v>112.70873942625965</v>
      </c>
      <c r="N16" s="672">
        <f t="shared" si="6"/>
        <v>69090.45726829716</v>
      </c>
      <c r="O16" s="672">
        <f>'Dec Midyear Adjustment'!O134</f>
        <v>-673007.0669053821</v>
      </c>
      <c r="P16" s="672">
        <f>'March Midyear Adjustment'!M133</f>
        <v>0</v>
      </c>
      <c r="Q16" s="672">
        <f t="shared" si="7"/>
        <v>1812253.520362915</v>
      </c>
      <c r="R16" s="1167">
        <f>-'[22]RSD - LA'!$C14</f>
        <v>-55150</v>
      </c>
      <c r="S16" s="969">
        <f t="shared" si="8"/>
        <v>1757103.520362915</v>
      </c>
      <c r="T16" s="672">
        <v>0</v>
      </c>
      <c r="U16" s="672">
        <f t="shared" si="9"/>
        <v>1757103.520362915</v>
      </c>
      <c r="V16" s="455"/>
      <c r="W16" s="455"/>
      <c r="X16" s="456"/>
    </row>
    <row r="17" spans="2:24" s="8" customFormat="1" ht="34.5" customHeight="1">
      <c r="B17" s="652" t="s">
        <v>653</v>
      </c>
      <c r="C17" s="836">
        <f>SUM(C9:C16)</f>
        <v>3032</v>
      </c>
      <c r="D17" s="837"/>
      <c r="E17" s="838">
        <f>SUM(E9:E16)</f>
        <v>11013166</v>
      </c>
      <c r="F17" s="839"/>
      <c r="G17" s="838">
        <f>SUM(G9:G16)</f>
        <v>752634</v>
      </c>
      <c r="H17" s="840"/>
      <c r="I17" s="838">
        <f>SUM(I9:I16)</f>
        <v>184982.32</v>
      </c>
      <c r="J17" s="838">
        <f>SUM(J9:J16)</f>
        <v>937616.32</v>
      </c>
      <c r="K17" s="838"/>
      <c r="L17" s="841"/>
      <c r="M17" s="838"/>
      <c r="N17" s="838">
        <f aca="true" t="shared" si="10" ref="N17:U17">SUM(N9:N16)</f>
        <v>324788.29989398783</v>
      </c>
      <c r="O17" s="838">
        <f t="shared" si="10"/>
        <v>-1155990.5877437894</v>
      </c>
      <c r="P17" s="838">
        <f>SUM(P9:P16)</f>
        <v>20101.902983350028</v>
      </c>
      <c r="Q17" s="838">
        <f t="shared" si="10"/>
        <v>11139681.935133548</v>
      </c>
      <c r="R17" s="1168">
        <f t="shared" si="10"/>
        <v>-354423</v>
      </c>
      <c r="S17" s="970">
        <f t="shared" si="10"/>
        <v>10785258.935133548</v>
      </c>
      <c r="T17" s="838">
        <f t="shared" si="10"/>
        <v>-19725.703399960843</v>
      </c>
      <c r="U17" s="838">
        <f t="shared" si="10"/>
        <v>10765533.231733589</v>
      </c>
      <c r="V17" s="742"/>
      <c r="W17" s="742"/>
      <c r="X17" s="743"/>
    </row>
    <row r="18" spans="2:24" s="8" customFormat="1" ht="34.5" customHeight="1">
      <c r="B18" s="652" t="s">
        <v>66</v>
      </c>
      <c r="C18" s="860">
        <f>C17+C7</f>
        <v>42902</v>
      </c>
      <c r="D18" s="850"/>
      <c r="E18" s="850">
        <f>E17+E7</f>
        <v>155833394</v>
      </c>
      <c r="F18" s="850"/>
      <c r="G18" s="850">
        <f>G17+G7</f>
        <v>10649564</v>
      </c>
      <c r="H18" s="850"/>
      <c r="I18" s="850">
        <f>I17+I7</f>
        <v>2617451.0199999996</v>
      </c>
      <c r="J18" s="850">
        <f>J17+J7</f>
        <v>13267015.02</v>
      </c>
      <c r="K18" s="850"/>
      <c r="L18" s="1000"/>
      <c r="M18" s="850"/>
      <c r="N18" s="850">
        <f aca="true" t="shared" si="11" ref="N18:S18">N17+N7</f>
        <v>4834389.275474859</v>
      </c>
      <c r="O18" s="850">
        <f t="shared" si="11"/>
        <v>2103954.7046966194</v>
      </c>
      <c r="P18" s="850">
        <f t="shared" si="11"/>
        <v>307982.6439824409</v>
      </c>
      <c r="Q18" s="850">
        <f t="shared" si="11"/>
        <v>176346735.64415392</v>
      </c>
      <c r="R18" s="1169">
        <f t="shared" si="11"/>
        <v>-5316885</v>
      </c>
      <c r="S18" s="977">
        <f t="shared" si="11"/>
        <v>171029850.64415392</v>
      </c>
      <c r="T18" s="850"/>
      <c r="U18" s="850"/>
      <c r="V18" s="742"/>
      <c r="W18" s="742"/>
      <c r="X18" s="743"/>
    </row>
    <row r="19" spans="2:24" ht="6.75" customHeight="1">
      <c r="B19" s="842"/>
      <c r="C19" s="843"/>
      <c r="D19" s="844"/>
      <c r="E19" s="844"/>
      <c r="F19" s="844"/>
      <c r="G19" s="844"/>
      <c r="H19" s="845"/>
      <c r="I19" s="844"/>
      <c r="J19" s="844"/>
      <c r="K19" s="844"/>
      <c r="L19" s="846"/>
      <c r="M19" s="844"/>
      <c r="N19" s="844"/>
      <c r="O19" s="844"/>
      <c r="P19" s="844"/>
      <c r="Q19" s="844"/>
      <c r="R19" s="844"/>
      <c r="S19" s="844"/>
      <c r="T19" s="844"/>
      <c r="U19" s="844"/>
      <c r="V19" s="455"/>
      <c r="W19" s="455"/>
      <c r="X19" s="456"/>
    </row>
    <row r="20" spans="2:26" s="848" customFormat="1" ht="34.5" customHeight="1">
      <c r="B20" s="847" t="s">
        <v>668</v>
      </c>
      <c r="C20" s="858">
        <f>'Table 8 Membership, 2.1.09'!R43-C22</f>
        <v>2462</v>
      </c>
      <c r="D20" s="672">
        <f>'Table 3 Levels 1&amp;2'!$AL$46</f>
        <v>3980.6376294007673</v>
      </c>
      <c r="E20" s="672">
        <f>ROUND(C20*D20,0)</f>
        <v>9800330</v>
      </c>
      <c r="F20" s="672">
        <f>'Table 4 Level 3'!$W$44</f>
        <v>249.97</v>
      </c>
      <c r="G20" s="672">
        <f>ROUND(F20*C20,0)</f>
        <v>615426</v>
      </c>
      <c r="H20" s="673">
        <f>'Table 4 Level 3'!$AA$44</f>
        <v>73.66</v>
      </c>
      <c r="I20" s="672">
        <f>H20*C20</f>
        <v>181350.91999999998</v>
      </c>
      <c r="J20" s="672">
        <f>G20+I20</f>
        <v>796776.9199999999</v>
      </c>
      <c r="K20" s="853">
        <f>'[12]Total Pay Increase'!$J$44</f>
        <v>271603</v>
      </c>
      <c r="L20" s="854">
        <f>'[8]Base Membership'!$E$46</f>
        <v>2478</v>
      </c>
      <c r="M20" s="852">
        <f>K20/L20</f>
        <v>109.60573042776433</v>
      </c>
      <c r="N20" s="852">
        <f>M20*C20</f>
        <v>269849.3083131558</v>
      </c>
      <c r="O20" s="852">
        <f>'Dec Midyear Adjustment'!O44</f>
        <v>110346.83399571328</v>
      </c>
      <c r="P20" s="852">
        <f>'March Midyear Adjustment'!M44</f>
        <v>0</v>
      </c>
      <c r="Q20" s="852">
        <f>J20+E20+N20+O20+P20</f>
        <v>10977303.062308868</v>
      </c>
      <c r="R20" s="1166">
        <f>-'[22]RSD - LA'!$C22</f>
        <v>-332184</v>
      </c>
      <c r="S20" s="968">
        <f>Q20+R20</f>
        <v>10645119.062308868</v>
      </c>
      <c r="T20" s="849" t="s">
        <v>666</v>
      </c>
      <c r="U20" s="849" t="s">
        <v>666</v>
      </c>
      <c r="V20" s="855"/>
      <c r="W20" s="855"/>
      <c r="X20" s="856"/>
      <c r="Y20" s="132"/>
      <c r="Z20" s="132"/>
    </row>
    <row r="21" spans="2:24" s="1003" customFormat="1" ht="6" customHeight="1">
      <c r="B21" s="831"/>
      <c r="C21" s="832"/>
      <c r="D21" s="833"/>
      <c r="E21" s="834"/>
      <c r="F21" s="834"/>
      <c r="G21" s="834"/>
      <c r="H21" s="835"/>
      <c r="I21" s="834"/>
      <c r="J21" s="834"/>
      <c r="K21" s="834"/>
      <c r="L21" s="834"/>
      <c r="M21" s="834"/>
      <c r="N21" s="834"/>
      <c r="O21" s="1020"/>
      <c r="P21" s="1020"/>
      <c r="Q21" s="1020"/>
      <c r="R21" s="834"/>
      <c r="S21" s="834"/>
      <c r="T21" s="834"/>
      <c r="U21" s="834"/>
      <c r="V21" s="1001"/>
      <c r="W21" s="1001"/>
      <c r="X21" s="1002"/>
    </row>
    <row r="22" spans="2:24" ht="34.5" customHeight="1">
      <c r="B22" s="653" t="s">
        <v>652</v>
      </c>
      <c r="C22" s="671">
        <f>'Table 8 Membership, 2.1.09'!R141</f>
        <v>405</v>
      </c>
      <c r="D22" s="672">
        <f>'Table 3 Levels 1&amp;2'!$AL$46</f>
        <v>3980.6376294007673</v>
      </c>
      <c r="E22" s="672">
        <f>ROUND(C22*D22,0)</f>
        <v>1612158</v>
      </c>
      <c r="F22" s="672">
        <f>'Table 4 Level 3'!$W$44</f>
        <v>249.97</v>
      </c>
      <c r="G22" s="672">
        <f>ROUND(F22*C22,0)</f>
        <v>101238</v>
      </c>
      <c r="H22" s="673">
        <f>'Table 4 Level 3'!$AA$44</f>
        <v>73.66</v>
      </c>
      <c r="I22" s="672">
        <f>H22*C22</f>
        <v>29832.3</v>
      </c>
      <c r="J22" s="672">
        <f>G22+I22</f>
        <v>131070.3</v>
      </c>
      <c r="K22" s="672">
        <f>'[12]Type 5 Charters - LA'!$C$11</f>
        <v>21185</v>
      </c>
      <c r="L22" s="744">
        <f>'[10]Sheet1'!$D$14</f>
        <v>422</v>
      </c>
      <c r="M22" s="672">
        <f>K22/L22</f>
        <v>50.20142180094787</v>
      </c>
      <c r="N22" s="672">
        <f>M22*C22</f>
        <v>20331.575829383888</v>
      </c>
      <c r="O22" s="672">
        <f>'Dec Midyear Adjustment'!O138</f>
        <v>0</v>
      </c>
      <c r="P22" s="672">
        <f>'March Midyear Adjustment'!M138</f>
        <v>0</v>
      </c>
      <c r="Q22" s="672">
        <f>J22+E22+N22+O22+P22</f>
        <v>1763559.875829384</v>
      </c>
      <c r="R22" s="1167">
        <f>-'[22]RSD - LA'!$C24</f>
        <v>-53909</v>
      </c>
      <c r="S22" s="969">
        <f>Q22+R22</f>
        <v>1709650.875829384</v>
      </c>
      <c r="T22" s="672">
        <f>'[14]Audit Adjs - TOTAL'!$F$138</f>
        <v>-180689.794704551</v>
      </c>
      <c r="U22" s="672">
        <f>SUM(S22:T22)</f>
        <v>1528961.0811248329</v>
      </c>
      <c r="V22" s="455"/>
      <c r="W22" s="455"/>
      <c r="X22" s="456"/>
    </row>
    <row r="23" spans="2:24" s="8" customFormat="1" ht="34.5" customHeight="1">
      <c r="B23" s="851" t="s">
        <v>669</v>
      </c>
      <c r="C23" s="857">
        <f>SUM(C20:C22)</f>
        <v>2867</v>
      </c>
      <c r="D23" s="838"/>
      <c r="E23" s="838">
        <f aca="true" t="shared" si="12" ref="E23:S23">SUM(E20:E22)</f>
        <v>11412488</v>
      </c>
      <c r="F23" s="838"/>
      <c r="G23" s="838">
        <f t="shared" si="12"/>
        <v>716664</v>
      </c>
      <c r="H23" s="850"/>
      <c r="I23" s="838">
        <f t="shared" si="12"/>
        <v>211183.21999999997</v>
      </c>
      <c r="J23" s="838">
        <f t="shared" si="12"/>
        <v>927847.22</v>
      </c>
      <c r="K23" s="838">
        <f t="shared" si="12"/>
        <v>292788</v>
      </c>
      <c r="L23" s="841"/>
      <c r="M23" s="838"/>
      <c r="N23" s="838">
        <f t="shared" si="12"/>
        <v>290180.8841425397</v>
      </c>
      <c r="O23" s="838">
        <f t="shared" si="12"/>
        <v>110346.83399571328</v>
      </c>
      <c r="P23" s="838">
        <f t="shared" si="12"/>
        <v>0</v>
      </c>
      <c r="Q23" s="838">
        <f t="shared" si="12"/>
        <v>12740862.938138252</v>
      </c>
      <c r="R23" s="1168">
        <f t="shared" si="12"/>
        <v>-386093</v>
      </c>
      <c r="S23" s="970">
        <f t="shared" si="12"/>
        <v>12354769.938138252</v>
      </c>
      <c r="T23" s="838"/>
      <c r="U23" s="838"/>
      <c r="V23" s="742"/>
      <c r="W23" s="742"/>
      <c r="X23" s="743"/>
    </row>
    <row r="24" spans="2:24" ht="6.75" customHeight="1">
      <c r="B24" s="842"/>
      <c r="C24" s="843"/>
      <c r="D24" s="844"/>
      <c r="E24" s="844"/>
      <c r="F24" s="844"/>
      <c r="G24" s="844"/>
      <c r="H24" s="845"/>
      <c r="I24" s="844"/>
      <c r="J24" s="844"/>
      <c r="K24" s="844"/>
      <c r="L24" s="846"/>
      <c r="M24" s="844"/>
      <c r="N24" s="844"/>
      <c r="O24" s="844"/>
      <c r="P24" s="844"/>
      <c r="Q24" s="844"/>
      <c r="R24" s="844"/>
      <c r="S24" s="844"/>
      <c r="T24" s="844"/>
      <c r="U24" s="844"/>
      <c r="V24" s="455"/>
      <c r="W24" s="455"/>
      <c r="X24" s="456"/>
    </row>
    <row r="25" spans="2:24" s="132" customFormat="1" ht="34.5" customHeight="1">
      <c r="B25" s="830" t="s">
        <v>670</v>
      </c>
      <c r="C25" s="858">
        <f>'Table 8 Membership, 2.1.09'!R13-C29</f>
        <v>40231</v>
      </c>
      <c r="D25" s="712">
        <f>'Table 3 Levels 1&amp;2'!$AL$16</f>
        <v>4878.837271866106</v>
      </c>
      <c r="E25" s="672">
        <f>ROUND(C25*D25,0)</f>
        <v>196280502</v>
      </c>
      <c r="F25" s="852">
        <f>'Table 4 Level 3'!$W$14</f>
        <v>241.96</v>
      </c>
      <c r="G25" s="672">
        <f>ROUND(F25*C25,0)</f>
        <v>9734293</v>
      </c>
      <c r="H25" s="673">
        <f>'Table 4 Level 3'!$AA$14</f>
        <v>82.57</v>
      </c>
      <c r="I25" s="672">
        <f>H25*C25</f>
        <v>3321873.67</v>
      </c>
      <c r="J25" s="672">
        <f>G25+I25</f>
        <v>13056166.67</v>
      </c>
      <c r="K25" s="853">
        <f>'[12]Total Pay Increase'!$J$14</f>
        <v>4405760</v>
      </c>
      <c r="L25" s="854">
        <f>'[8]Base Membership'!$E$16</f>
        <v>41653</v>
      </c>
      <c r="M25" s="853">
        <f>'Table 4 Level 3'!$AE$14</f>
        <v>105.77</v>
      </c>
      <c r="N25" s="672">
        <f>M25*C25</f>
        <v>4255232.87</v>
      </c>
      <c r="O25" s="672">
        <f>'Dec Midyear Adjustment'!O14</f>
        <v>2649259.498661187</v>
      </c>
      <c r="P25" s="672">
        <f>'March Midyear Adjustment'!M14</f>
        <v>0</v>
      </c>
      <c r="Q25" s="672">
        <f>J25+E25+N25+O25+P25</f>
        <v>216241161.03866118</v>
      </c>
      <c r="R25" s="1167">
        <f>-'[22]RSD - LA'!$C31</f>
        <v>-6556398</v>
      </c>
      <c r="S25" s="969">
        <f>Q25+R25</f>
        <v>209684763.03866118</v>
      </c>
      <c r="T25" s="849" t="s">
        <v>666</v>
      </c>
      <c r="U25" s="849" t="s">
        <v>666</v>
      </c>
      <c r="V25" s="855"/>
      <c r="W25" s="855"/>
      <c r="X25" s="856"/>
    </row>
    <row r="26" spans="2:24" s="1003" customFormat="1" ht="6" customHeight="1">
      <c r="B26" s="831"/>
      <c r="C26" s="832"/>
      <c r="D26" s="833"/>
      <c r="E26" s="834"/>
      <c r="F26" s="834"/>
      <c r="G26" s="834"/>
      <c r="H26" s="835"/>
      <c r="I26" s="834"/>
      <c r="J26" s="834"/>
      <c r="K26" s="834"/>
      <c r="L26" s="834"/>
      <c r="M26" s="834"/>
      <c r="N26" s="834"/>
      <c r="O26" s="1020"/>
      <c r="P26" s="1020"/>
      <c r="Q26" s="1020"/>
      <c r="R26" s="834"/>
      <c r="S26" s="834"/>
      <c r="T26" s="834"/>
      <c r="U26" s="834"/>
      <c r="V26" s="1001"/>
      <c r="W26" s="1001"/>
      <c r="X26" s="1002"/>
    </row>
    <row r="27" spans="2:24" ht="34.5" customHeight="1">
      <c r="B27" s="654" t="s">
        <v>654</v>
      </c>
      <c r="C27" s="711">
        <f>'Table 8 Membership, 2.1.09'!R144</f>
        <v>443</v>
      </c>
      <c r="D27" s="712">
        <f>'Table 3 Levels 1&amp;2'!$AL$16</f>
        <v>4878.837271866106</v>
      </c>
      <c r="E27" s="672">
        <f>ROUND(C27*D27,0)</f>
        <v>2161325</v>
      </c>
      <c r="F27" s="852">
        <f>'Table 4 Level 3'!$W$14</f>
        <v>241.96</v>
      </c>
      <c r="G27" s="672">
        <f>ROUND(F27*C27,0)</f>
        <v>107188</v>
      </c>
      <c r="H27" s="673">
        <f>'Table 4 Level 3'!$AA$14</f>
        <v>82.57</v>
      </c>
      <c r="I27" s="672">
        <f>H27*C27</f>
        <v>36578.509999999995</v>
      </c>
      <c r="J27" s="672">
        <f>G27+I27</f>
        <v>143766.51</v>
      </c>
      <c r="K27" s="672"/>
      <c r="L27" s="744"/>
      <c r="M27" s="853">
        <f>'Table 4 Level 3'!$AE$14</f>
        <v>105.77</v>
      </c>
      <c r="N27" s="672">
        <f>M27*C27</f>
        <v>46856.11</v>
      </c>
      <c r="O27" s="672">
        <f>'Dec Midyear Adjustment'!O141</f>
        <v>-913171.6107609703</v>
      </c>
      <c r="P27" s="672">
        <f>'March Midyear Adjustment'!M140</f>
        <v>0</v>
      </c>
      <c r="Q27" s="672">
        <f>J27+E27+N27+O27+P27</f>
        <v>1438776.0092390294</v>
      </c>
      <c r="R27" s="1167">
        <f>-'[22]RSD - LA'!$C33</f>
        <v>-44630</v>
      </c>
      <c r="S27" s="969">
        <f>Q27+R27</f>
        <v>1394146.0092390294</v>
      </c>
      <c r="T27" s="672">
        <v>0</v>
      </c>
      <c r="U27" s="672">
        <f>SUM(S27:T27)</f>
        <v>1394146.0092390294</v>
      </c>
      <c r="V27" s="455"/>
      <c r="W27" s="455"/>
      <c r="X27" s="456"/>
    </row>
    <row r="28" spans="2:24" ht="34.5" customHeight="1">
      <c r="B28" s="654" t="s">
        <v>655</v>
      </c>
      <c r="C28" s="711">
        <f>'Table 8 Membership, 2.1.09'!R145</f>
        <v>696</v>
      </c>
      <c r="D28" s="712">
        <f>'Table 3 Levels 1&amp;2'!$AL$16</f>
        <v>4878.837271866106</v>
      </c>
      <c r="E28" s="672">
        <f>ROUND(C28*D28,0)</f>
        <v>3395671</v>
      </c>
      <c r="F28" s="852">
        <f>'Table 4 Level 3'!$W$14</f>
        <v>241.96</v>
      </c>
      <c r="G28" s="672">
        <f>ROUND(F28*C28,0)</f>
        <v>168404</v>
      </c>
      <c r="H28" s="673">
        <f>'Table 4 Level 3'!$AA$14</f>
        <v>82.57</v>
      </c>
      <c r="I28" s="672">
        <f>H28*C28</f>
        <v>57468.719999999994</v>
      </c>
      <c r="J28" s="672">
        <f>G28+I28</f>
        <v>225872.72</v>
      </c>
      <c r="K28" s="672"/>
      <c r="L28" s="744"/>
      <c r="M28" s="853">
        <f>'Table 4 Level 3'!$AE$14</f>
        <v>105.77</v>
      </c>
      <c r="N28" s="672">
        <f>M28*C28</f>
        <v>73615.92</v>
      </c>
      <c r="O28" s="672">
        <f>'Dec Midyear Adjustment'!O142</f>
        <v>-217674.62814651034</v>
      </c>
      <c r="P28" s="672">
        <f>'March Midyear Adjustment'!M141</f>
        <v>0</v>
      </c>
      <c r="Q28" s="672">
        <f>J28+E28+N28+O28+P28</f>
        <v>3477485.01185349</v>
      </c>
      <c r="R28" s="1167">
        <f>-'[22]RSD - LA'!$C34</f>
        <v>-112955</v>
      </c>
      <c r="S28" s="969">
        <f>Q28+R28</f>
        <v>3364530.01185349</v>
      </c>
      <c r="T28" s="672">
        <v>0</v>
      </c>
      <c r="U28" s="672">
        <f>SUM(S28:T28)</f>
        <v>3364530.01185349</v>
      </c>
      <c r="V28" s="455"/>
      <c r="W28" s="455"/>
      <c r="X28" s="456"/>
    </row>
    <row r="29" spans="2:24" s="8" customFormat="1" ht="34.5" customHeight="1">
      <c r="B29" s="652" t="s">
        <v>656</v>
      </c>
      <c r="C29" s="836">
        <f>SUM(C27:C28)</f>
        <v>1139</v>
      </c>
      <c r="D29" s="837"/>
      <c r="E29" s="838">
        <f>SUM(E27:E28)</f>
        <v>5556996</v>
      </c>
      <c r="F29" s="839"/>
      <c r="G29" s="838">
        <f>SUM(G27:G28)</f>
        <v>275592</v>
      </c>
      <c r="H29" s="840"/>
      <c r="I29" s="838">
        <f>SUM(I27:I28)</f>
        <v>94047.22999999998</v>
      </c>
      <c r="J29" s="838">
        <f>SUM(J27:J28)</f>
        <v>369639.23</v>
      </c>
      <c r="K29" s="838"/>
      <c r="L29" s="841"/>
      <c r="M29" s="838"/>
      <c r="N29" s="838">
        <f aca="true" t="shared" si="13" ref="N29:U29">SUM(N27:N28)</f>
        <v>120472.03</v>
      </c>
      <c r="O29" s="838">
        <f t="shared" si="13"/>
        <v>-1130846.2389074806</v>
      </c>
      <c r="P29" s="838">
        <f t="shared" si="13"/>
        <v>0</v>
      </c>
      <c r="Q29" s="838">
        <f t="shared" si="13"/>
        <v>4916261.021092519</v>
      </c>
      <c r="R29" s="1168">
        <f>SUM(R27:R28)</f>
        <v>-157585</v>
      </c>
      <c r="S29" s="970">
        <f>SUM(S27:S28)</f>
        <v>4758676.021092519</v>
      </c>
      <c r="T29" s="838">
        <f t="shared" si="13"/>
        <v>0</v>
      </c>
      <c r="U29" s="838">
        <f t="shared" si="13"/>
        <v>4758676.021092519</v>
      </c>
      <c r="V29" s="742"/>
      <c r="W29" s="742"/>
      <c r="X29" s="743"/>
    </row>
    <row r="30" spans="2:24" s="8" customFormat="1" ht="34.5" customHeight="1">
      <c r="B30" s="851" t="s">
        <v>657</v>
      </c>
      <c r="C30" s="857">
        <f>C29+C25</f>
        <v>41370</v>
      </c>
      <c r="D30" s="971"/>
      <c r="E30" s="838">
        <f aca="true" t="shared" si="14" ref="E30:Q30">E29+E25</f>
        <v>201837498</v>
      </c>
      <c r="F30" s="838"/>
      <c r="G30" s="838">
        <f t="shared" si="14"/>
        <v>10009885</v>
      </c>
      <c r="H30" s="850"/>
      <c r="I30" s="838">
        <f t="shared" si="14"/>
        <v>3415920.9</v>
      </c>
      <c r="J30" s="838">
        <f t="shared" si="14"/>
        <v>13425805.9</v>
      </c>
      <c r="K30" s="838">
        <f t="shared" si="14"/>
        <v>4405760</v>
      </c>
      <c r="L30" s="974"/>
      <c r="M30" s="838"/>
      <c r="N30" s="838">
        <f t="shared" si="14"/>
        <v>4375704.9</v>
      </c>
      <c r="O30" s="838">
        <f t="shared" si="14"/>
        <v>1518413.2597537064</v>
      </c>
      <c r="P30" s="838">
        <f t="shared" si="14"/>
        <v>0</v>
      </c>
      <c r="Q30" s="838">
        <f t="shared" si="14"/>
        <v>221157422.05975372</v>
      </c>
      <c r="R30" s="1168">
        <f>R29+R25</f>
        <v>-6713983</v>
      </c>
      <c r="S30" s="970">
        <f>S29+S25</f>
        <v>214443439.05975372</v>
      </c>
      <c r="T30" s="838"/>
      <c r="U30" s="838"/>
      <c r="V30" s="742"/>
      <c r="W30" s="742"/>
      <c r="X30" s="743"/>
    </row>
    <row r="31" spans="2:24" s="95" customFormat="1" ht="6.75" customHeight="1">
      <c r="B31" s="842"/>
      <c r="C31" s="843"/>
      <c r="D31" s="972"/>
      <c r="E31" s="844"/>
      <c r="F31" s="844"/>
      <c r="G31" s="844"/>
      <c r="H31" s="845"/>
      <c r="I31" s="844"/>
      <c r="J31" s="844"/>
      <c r="K31" s="844"/>
      <c r="L31" s="975"/>
      <c r="M31" s="844"/>
      <c r="N31" s="844"/>
      <c r="O31" s="844"/>
      <c r="P31" s="844"/>
      <c r="Q31" s="844"/>
      <c r="R31" s="844"/>
      <c r="S31" s="844"/>
      <c r="T31" s="844"/>
      <c r="U31" s="844"/>
      <c r="V31" s="455"/>
      <c r="W31" s="455"/>
      <c r="X31" s="456"/>
    </row>
    <row r="32" spans="2:24" s="8" customFormat="1" ht="34.5" customHeight="1">
      <c r="B32" s="652" t="s">
        <v>658</v>
      </c>
      <c r="C32" s="860">
        <f>C17+C22+C29</f>
        <v>4576</v>
      </c>
      <c r="D32" s="973"/>
      <c r="E32" s="976">
        <f>E17+E22+E29</f>
        <v>18182320</v>
      </c>
      <c r="F32" s="976"/>
      <c r="G32" s="976">
        <f>G17+G22+G29</f>
        <v>1129464</v>
      </c>
      <c r="H32" s="976"/>
      <c r="I32" s="976">
        <f>I17+I22+I29</f>
        <v>308861.85</v>
      </c>
      <c r="J32" s="976">
        <f>J17+J22+J29</f>
        <v>1438325.8499999999</v>
      </c>
      <c r="K32" s="976"/>
      <c r="L32" s="976"/>
      <c r="M32" s="976"/>
      <c r="N32" s="976">
        <f>N17+N22+N29</f>
        <v>465591.9057233718</v>
      </c>
      <c r="O32" s="976">
        <f>O29+O22+O17</f>
        <v>-2286836.82665127</v>
      </c>
      <c r="P32" s="976">
        <f>P29+P22+P17</f>
        <v>20101.902983350028</v>
      </c>
      <c r="Q32" s="976">
        <f>Q17+Q22+Q29</f>
        <v>17819502.83205545</v>
      </c>
      <c r="R32" s="1168">
        <f>R17+R22+R29</f>
        <v>-565917</v>
      </c>
      <c r="S32" s="970"/>
      <c r="T32" s="838">
        <f>T17+T22+T29</f>
        <v>-200415.49810451185</v>
      </c>
      <c r="U32" s="976">
        <f>U17+U22+U29</f>
        <v>17053170.33395094</v>
      </c>
      <c r="V32" s="742"/>
      <c r="W32" s="742"/>
      <c r="X32" s="743"/>
    </row>
    <row r="33" spans="2:24" s="95" customFormat="1" ht="6.75" customHeight="1">
      <c r="B33" s="842"/>
      <c r="C33" s="843"/>
      <c r="D33" s="972"/>
      <c r="E33" s="844"/>
      <c r="F33" s="844"/>
      <c r="G33" s="844"/>
      <c r="H33" s="845"/>
      <c r="I33" s="844"/>
      <c r="J33" s="844"/>
      <c r="K33" s="844"/>
      <c r="L33" s="975"/>
      <c r="M33" s="844"/>
      <c r="N33" s="844"/>
      <c r="O33" s="844"/>
      <c r="P33" s="844"/>
      <c r="Q33" s="844"/>
      <c r="R33" s="844"/>
      <c r="S33" s="844"/>
      <c r="T33" s="844"/>
      <c r="U33" s="844"/>
      <c r="V33" s="455"/>
      <c r="W33" s="455"/>
      <c r="X33" s="456"/>
    </row>
    <row r="34" spans="2:24" s="8" customFormat="1" ht="34.5" customHeight="1" hidden="1">
      <c r="B34" s="652" t="s">
        <v>80</v>
      </c>
      <c r="C34" s="860"/>
      <c r="D34" s="973"/>
      <c r="E34" s="976"/>
      <c r="F34" s="976"/>
      <c r="G34" s="976"/>
      <c r="H34" s="976"/>
      <c r="I34" s="976"/>
      <c r="J34" s="976"/>
      <c r="K34" s="976"/>
      <c r="L34" s="976"/>
      <c r="M34" s="976"/>
      <c r="N34" s="976"/>
      <c r="O34" s="976"/>
      <c r="P34" s="976"/>
      <c r="Q34" s="976"/>
      <c r="R34" s="1168"/>
      <c r="S34" s="970"/>
      <c r="T34" s="838"/>
      <c r="U34" s="976" t="e">
        <f>#REF!</f>
        <v>#REF!</v>
      </c>
      <c r="V34" s="742"/>
      <c r="W34" s="742"/>
      <c r="X34" s="743"/>
    </row>
    <row r="35" spans="2:24" s="8" customFormat="1" ht="34.5" customHeight="1" hidden="1">
      <c r="B35" s="652" t="s">
        <v>395</v>
      </c>
      <c r="C35" s="860"/>
      <c r="D35" s="973"/>
      <c r="E35" s="976"/>
      <c r="F35" s="976"/>
      <c r="G35" s="976"/>
      <c r="H35" s="976"/>
      <c r="I35" s="976"/>
      <c r="J35" s="976"/>
      <c r="K35" s="976"/>
      <c r="L35" s="976"/>
      <c r="M35" s="976"/>
      <c r="N35" s="976"/>
      <c r="O35" s="976"/>
      <c r="P35" s="976"/>
      <c r="Q35" s="976"/>
      <c r="R35" s="1168"/>
      <c r="S35" s="970"/>
      <c r="T35" s="838">
        <f>T32</f>
        <v>-200415.49810451185</v>
      </c>
      <c r="U35" s="976" t="e">
        <f>U32+U34</f>
        <v>#REF!</v>
      </c>
      <c r="V35" s="742"/>
      <c r="W35" s="742"/>
      <c r="X35" s="743"/>
    </row>
    <row r="36" spans="5:24" ht="19.5" customHeight="1" hidden="1">
      <c r="E36" s="59"/>
      <c r="F36" s="59"/>
      <c r="G36" s="59"/>
      <c r="H36" s="59"/>
      <c r="I36" s="59"/>
      <c r="J36" s="59"/>
      <c r="K36" s="675"/>
      <c r="L36" s="675"/>
      <c r="M36" s="675"/>
      <c r="N36" s="675"/>
      <c r="O36" s="1019"/>
      <c r="P36" s="1019"/>
      <c r="Q36" s="1019"/>
      <c r="R36" s="675"/>
      <c r="S36" s="675"/>
      <c r="T36" s="675"/>
      <c r="U36" s="675"/>
      <c r="V36" s="455"/>
      <c r="W36" s="455"/>
      <c r="X36" s="456"/>
    </row>
    <row r="37" spans="2:24" ht="19.5" customHeight="1" hidden="1">
      <c r="B37" s="1400"/>
      <c r="C37" s="1400"/>
      <c r="D37" s="1400"/>
      <c r="E37" s="1400"/>
      <c r="F37" s="1400"/>
      <c r="G37" s="1400"/>
      <c r="H37" s="1400"/>
      <c r="I37" s="1400"/>
      <c r="J37" s="1400"/>
      <c r="K37" s="675"/>
      <c r="L37" s="675"/>
      <c r="M37" s="675"/>
      <c r="N37" s="675"/>
      <c r="O37" s="1019"/>
      <c r="P37" s="1019"/>
      <c r="Q37" s="1019"/>
      <c r="R37" s="675"/>
      <c r="S37" s="675"/>
      <c r="T37" s="675"/>
      <c r="U37" s="675"/>
      <c r="V37" s="455"/>
      <c r="W37" s="455"/>
      <c r="X37" s="456"/>
    </row>
    <row r="38" spans="22:24" ht="19.5" customHeight="1" hidden="1">
      <c r="V38" s="452"/>
      <c r="W38" s="452"/>
      <c r="X38" s="453"/>
    </row>
    <row r="39" ht="12.75" hidden="1"/>
    <row r="40" spans="10:13" ht="12.75" hidden="1">
      <c r="J40" s="81" t="s">
        <v>665</v>
      </c>
      <c r="K40" s="77">
        <f>SUM(K7:K12)</f>
        <v>4903281</v>
      </c>
      <c r="L40" s="77">
        <f>SUM(L7:L12)</f>
        <v>43504</v>
      </c>
      <c r="M40" s="77">
        <f>(K40/L40)</f>
        <v>112.70873942625965</v>
      </c>
    </row>
    <row r="41" ht="12.75" hidden="1"/>
    <row r="42" ht="12.75" hidden="1"/>
  </sheetData>
  <sheetProtection/>
  <mergeCells count="21">
    <mergeCell ref="F3:J3"/>
    <mergeCell ref="K3:N3"/>
    <mergeCell ref="L4:L5"/>
    <mergeCell ref="I4:I5"/>
    <mergeCell ref="F4:F5"/>
    <mergeCell ref="J4:J5"/>
    <mergeCell ref="B37:J37"/>
    <mergeCell ref="C4:C5"/>
    <mergeCell ref="H4:H5"/>
    <mergeCell ref="N4:N5"/>
    <mergeCell ref="B4:B5"/>
    <mergeCell ref="M4:M5"/>
    <mergeCell ref="O4:O5"/>
    <mergeCell ref="G4:G5"/>
    <mergeCell ref="P4:P5"/>
    <mergeCell ref="E4:E5"/>
    <mergeCell ref="K4:K5"/>
    <mergeCell ref="U4:U5"/>
    <mergeCell ref="Q4:Q5"/>
    <mergeCell ref="R4:R5"/>
    <mergeCell ref="S4:S5"/>
  </mergeCells>
  <printOptions horizontalCentered="1"/>
  <pageMargins left="0.25" right="0" top="0.75" bottom="0.42" header="0.34" footer="0.31"/>
  <pageSetup firstPageNumber="24" useFirstPageNumber="1" horizontalDpi="600" verticalDpi="600" orientation="landscape" paperSize="5" scale="46" r:id="rId1"/>
  <headerFooter alignWithMargins="0">
    <oddHeader>&amp;L&amp;"Arial,Bold"&amp;22Table 5B-2:  FY2009-2010 MFP Budget Letter (March 2010)
Recovery School District (Allocations for School Boards other than Orleans Parish)&amp;R
</oddHeader>
    <oddFooter>&amp;L&amp;14Note: Final per pupil amount paid to schools in the RSD will include an adjustment for RSD administrative costs.&amp;R&amp;12&amp;P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Paula Matherne</cp:lastModifiedBy>
  <cp:lastPrinted>2010-05-14T19:23:15Z</cp:lastPrinted>
  <dcterms:created xsi:type="dcterms:W3CDTF">1999-11-15T20:37:39Z</dcterms:created>
  <dcterms:modified xsi:type="dcterms:W3CDTF">2015-03-05T17:38:54Z</dcterms:modified>
  <cp:category/>
  <cp:version/>
  <cp:contentType/>
  <cp:contentStatus/>
</cp:coreProperties>
</file>