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11340" windowHeight="6030" tabRatio="601" activeTab="0"/>
  </bookViews>
  <sheets>
    <sheet name="Table 1 State Summary" sheetId="1" r:id="rId1"/>
    <sheet name="Table 2 District Summary" sheetId="2" r:id="rId2"/>
    <sheet name="Table 3 Distribution" sheetId="3" r:id="rId3"/>
    <sheet name="Table 4 Formula" sheetId="4" r:id="rId4"/>
    <sheet name="Table 5 Lab Schools" sheetId="5" r:id="rId5"/>
    <sheet name="Tables 6-8 Local Wealth" sheetId="6" r:id="rId6"/>
    <sheet name="Table 7 Membership" sheetId="7" r:id="rId7"/>
    <sheet name="FYI" sheetId="8" r:id="rId8"/>
  </sheets>
  <definedNames>
    <definedName name="_xlnm.Print_Titles" localSheetId="1">'Table 2 District Summary'!$A:$B</definedName>
    <definedName name="_xlnm.Print_Titles" localSheetId="2">'Table 3 Distribution'!$A:$B,'Table 3 Distribution'!$1:$5</definedName>
    <definedName name="_xlnm.Print_Titles" localSheetId="3">'Table 4 Formula'!$A:$B</definedName>
    <definedName name="_xlnm.Print_Titles" localSheetId="6">'Table 7 Membership'!$A:$B</definedName>
    <definedName name="_xlnm.Print_Titles" localSheetId="5">'Tables 6-8 Local Wealth'!$C:$C</definedName>
  </definedNames>
  <calcPr fullCalcOnLoad="1"/>
</workbook>
</file>

<file path=xl/sharedStrings.xml><?xml version="1.0" encoding="utf-8"?>
<sst xmlns="http://schemas.openxmlformats.org/spreadsheetml/2006/main" count="1063" uniqueCount="674">
  <si>
    <t>col 3 X col 1</t>
  </si>
  <si>
    <t>col 4 X col 1</t>
  </si>
  <si>
    <t>col 6 X col 1</t>
  </si>
  <si>
    <t>col 9 x col 1</t>
  </si>
  <si>
    <t xml:space="preserve"> </t>
  </si>
  <si>
    <t>SCHOOL SYSTEM</t>
  </si>
  <si>
    <t>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</si>
  <si>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</si>
  <si>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</si>
  <si>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</si>
  <si>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</si>
  <si>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</si>
  <si>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</si>
  <si>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</si>
  <si>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</si>
  <si>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</si>
  <si>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</si>
  <si>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</si>
  <si>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</si>
  <si>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</si>
  <si>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</si>
  <si>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</si>
  <si>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</si>
  <si>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</si>
  <si>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</si>
  <si>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</si>
  <si>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</si>
  <si>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</si>
  <si>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</si>
  <si>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</si>
  <si>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</si>
  <si>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</si>
  <si>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</si>
  <si>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</si>
  <si>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</si>
  <si>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</si>
  <si>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</si>
  <si>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</si>
  <si>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</si>
  <si>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</si>
  <si>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</si>
  <si>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</si>
  <si>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</si>
  <si>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</si>
  <si>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</si>
  <si>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</si>
  <si>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</si>
  <si>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</si>
  <si>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</si>
  <si>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</si>
  <si>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</si>
  <si>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</si>
  <si>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</si>
  <si>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</si>
  <si>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</si>
  <si>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</si>
  <si>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</si>
  <si>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</si>
  <si>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</si>
  <si>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</si>
  <si>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</si>
  <si>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</si>
  <si>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</si>
  <si>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</si>
  <si>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</si>
  <si>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</si>
  <si>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</si>
  <si>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</si>
  <si>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</si>
  <si>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</si>
  <si>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</si>
  <si>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</si>
  <si>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</si>
  <si>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</si>
  <si>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AT-RISK STUDENTS (PER SIS)</t>
  </si>
  <si>
    <t>AT-RISK WEIGHTED COST</t>
  </si>
  <si>
    <t>VOC UNITS (PER ANNUAL SCHOOL REPORT)</t>
  </si>
  <si>
    <t>VOC ED WEIGHTED COST</t>
  </si>
  <si>
    <t xml:space="preserve"> SPECIAL ED OTHER EXCEPTIONALITIES STUDENTS (PER LANSER)</t>
  </si>
  <si>
    <t>OTHER EXCEPTIONALITIES WEIGHTED COST</t>
  </si>
  <si>
    <t>SPECIAL ED GIFTED AND TALENTED STUDENTS (PER LANSER)</t>
  </si>
  <si>
    <t>GIFTED AND TALENTED WEIGHTED COST</t>
  </si>
  <si>
    <t>ECONOMY OF SCALE ELIGIBLE  DISTRICT MEMBERSHIP IF LESS THAN 7,500 THEN 7,500 LESS OCT.1MEMBERSHIP</t>
  </si>
  <si>
    <t>ELIGIBLE DISTRICT MEMBERSHIP DIVIDED BY 37,500 FOR ECONOMY OF SCALE VARIABLE FACTOR</t>
  </si>
  <si>
    <t>ECONOMY OF SCALE WEIGHTED COST</t>
  </si>
  <si>
    <t xml:space="preserve">La. Tax comm. </t>
  </si>
  <si>
    <t>col 2 / col 1</t>
  </si>
  <si>
    <t>col 3 / col 1</t>
  </si>
  <si>
    <t>col 4 / col 1</t>
  </si>
  <si>
    <t>col 9 / col 1</t>
  </si>
  <si>
    <t>col 1 - col 2</t>
  </si>
  <si>
    <t>col 14 + col 18</t>
  </si>
  <si>
    <t>col 5 + col 7 + col 14</t>
  </si>
  <si>
    <t>col 11 + col 18</t>
  </si>
  <si>
    <t>col 28 + col 29</t>
  </si>
  <si>
    <t>col 30 / col 27</t>
  </si>
  <si>
    <t>col 28/col 31</t>
  </si>
  <si>
    <t>col 29/col 31</t>
  </si>
  <si>
    <t>col 3b / col 1</t>
  </si>
  <si>
    <t>col 2 + col 3 + col 3b</t>
  </si>
  <si>
    <t xml:space="preserve">          PROPERTY AND SALES CAPACITY</t>
  </si>
  <si>
    <t>DEBT SERVICE TAXES</t>
  </si>
  <si>
    <t>PER PUPIL</t>
  </si>
  <si>
    <t>RANK</t>
  </si>
  <si>
    <t>(27a)</t>
  </si>
  <si>
    <t>(2A)</t>
  </si>
  <si>
    <t>(3A)</t>
  </si>
  <si>
    <t>(3B)</t>
  </si>
  <si>
    <t>(3C)</t>
  </si>
  <si>
    <t xml:space="preserve">(6A) </t>
  </si>
  <si>
    <t>(7A)</t>
  </si>
  <si>
    <t>(7B)</t>
  </si>
  <si>
    <t>(8A)</t>
  </si>
  <si>
    <t>(11A)</t>
  </si>
  <si>
    <t>1999-2000 NEW FORMULA STATE AID (Levels 1 &amp; 2)</t>
  </si>
  <si>
    <t>1999-2000 NEW FORMULA PER PUPIL</t>
  </si>
  <si>
    <t>1998-99 MFP PER PUPIL</t>
  </si>
  <si>
    <t>1999-2000 STATE SHARE OF COST (LEVEL 1 &amp; 2)</t>
  </si>
  <si>
    <t xml:space="preserve"> LEVEL 1 &amp; 2 LOCAL SHARE OF COST</t>
  </si>
  <si>
    <t>TOTAL MFP COST       (LEVEL 1 &amp; 2)</t>
  </si>
  <si>
    <t>OCTOBER 1, 1998 AUDITED STUDENT MEMBERSHIP (PER SIS)</t>
  </si>
  <si>
    <t>OCTOBER 1, 1997 AUDITED MEMBERSHIP</t>
  </si>
  <si>
    <t xml:space="preserve">  1998  ASSESSED PROPERTY VALUE</t>
  </si>
  <si>
    <t>TOTAL ASSESSED PROPERTY VALUE</t>
  </si>
  <si>
    <t>ASSESSED HOMESTEAD EXEMPTION</t>
  </si>
  <si>
    <t>NET ASSESSED TAXABLE PROPERTY</t>
  </si>
  <si>
    <t>PARISH MILL RATE</t>
  </si>
  <si>
    <t>PARISH REVENUE AMOUNT</t>
  </si>
  <si>
    <t>DIST MILL LOW</t>
  </si>
  <si>
    <t>DIST MILL HIGH</t>
  </si>
  <si>
    <t># OF DISTS</t>
  </si>
  <si>
    <t>DIST REVENUE AMOUNT</t>
  </si>
  <si>
    <t>PARISHWIDE DEBT MILLAGE</t>
  </si>
  <si>
    <t>REVENUE PARISHWIDE INCL. DEBT</t>
  </si>
  <si>
    <t>REVENUE DISTRICT INCL. DEBT</t>
  </si>
  <si>
    <t>TOTAL ALL AD VALOREM REV. INCL. DEBT</t>
  </si>
  <si>
    <t>TOTAL AD VALOREM TAXES (DEBT)</t>
  </si>
  <si>
    <t>TOTAL AD VALOREM TAXES    (NON DEBT)</t>
  </si>
  <si>
    <t>AVG MILL RATE INCLUDING DEBT</t>
  </si>
  <si>
    <t>AVG MILL RATE (DEBT)</t>
  </si>
  <si>
    <t>AVG MILL RATE (NON DEBT)</t>
  </si>
  <si>
    <t>SALES TAXES</t>
  </si>
  <si>
    <t>COMBINED SALES PERCENT</t>
  </si>
  <si>
    <t>SALES REVENUE (NON-DEBT)</t>
  </si>
  <si>
    <t>SALES REVENUE (DEBT)</t>
  </si>
  <si>
    <t>TOTAL SALES TAX REVENUE</t>
  </si>
  <si>
    <t>COMPUTED SALES TAX BASE</t>
  </si>
  <si>
    <t>NON-DEBT RATE</t>
  </si>
  <si>
    <t>DEBT RATE</t>
  </si>
  <si>
    <t>WEIGHTED STUDENT MEMBERSHIP</t>
  </si>
  <si>
    <t>PROPERTY CAPACITY INCLUDING DEBT</t>
  </si>
  <si>
    <t>SALES CAPACITY INCLUDING DEBT</t>
  </si>
  <si>
    <t>ADD IN OTHER REVENUES</t>
  </si>
  <si>
    <t>COMBINED CAPACITY INCLUDING DEBT</t>
  </si>
  <si>
    <t>PROPERTY AVG MILLAGE INCLUDING DEBT</t>
  </si>
  <si>
    <t>PROPERTY REVENUE INCLUDING DEBT</t>
  </si>
  <si>
    <t>SALES TAX RATE INCLUDING DEBT</t>
  </si>
  <si>
    <t>SALES REVENUE INCLUDING DEBT</t>
  </si>
  <si>
    <t>EFFORT INDEX</t>
  </si>
  <si>
    <t>NUMBER OF DISTRICTS ELIGIBLE FOR LEVEL 2</t>
  </si>
  <si>
    <t>NUMBER OF DISTRICTS INCREASING</t>
  </si>
  <si>
    <t>NO. OF H/H DIST</t>
  </si>
  <si>
    <t>Lea</t>
  </si>
  <si>
    <t>School System</t>
  </si>
  <si>
    <t>Per Pupil Amount</t>
  </si>
  <si>
    <t xml:space="preserve">Oct.1, 1999 Membership (Per SIS) </t>
  </si>
  <si>
    <t>Hide</t>
  </si>
  <si>
    <t xml:space="preserve">Weighted Add-on Student At Risk </t>
  </si>
  <si>
    <t xml:space="preserve">Weighted Add-On Units Voc Ed </t>
  </si>
  <si>
    <t xml:space="preserve">Economy-of-Scale Weighted Add-On Units </t>
  </si>
  <si>
    <t xml:space="preserve">Total Weighted Add-On Students and/or Units </t>
  </si>
  <si>
    <t xml:space="preserve">Total Weighted Membership and/or Units </t>
  </si>
  <si>
    <t>Local Wealth Factor (LWF)</t>
  </si>
  <si>
    <t xml:space="preserve">Weighted Proportion State Membership </t>
  </si>
  <si>
    <t xml:space="preserve">Local Proration Factor </t>
  </si>
  <si>
    <t xml:space="preserve">Local Share of Level 1 </t>
  </si>
  <si>
    <t xml:space="preserve">Local Share Percent </t>
  </si>
  <si>
    <t xml:space="preserve">State Share Percent </t>
  </si>
  <si>
    <t xml:space="preserve">Sales &amp; Property Tax Revenues (Including Debt) Plus Other Revenue </t>
  </si>
  <si>
    <t xml:space="preserve">Local Revenue Over Level 1 </t>
  </si>
  <si>
    <t xml:space="preserve">Local Revenue Under Level 1 </t>
  </si>
  <si>
    <t xml:space="preserve">Limit on Level 2 </t>
  </si>
  <si>
    <t xml:space="preserve">Eligible Local Revenue Level 2 </t>
  </si>
  <si>
    <t xml:space="preserve">State Aid Level 2 </t>
  </si>
  <si>
    <t xml:space="preserve">Percent State </t>
  </si>
  <si>
    <t xml:space="preserve">Level 2 State Liability </t>
  </si>
  <si>
    <t xml:space="preserve">State and Local Participation in Level 2 </t>
  </si>
  <si>
    <t xml:space="preserve">Percent Funded </t>
  </si>
  <si>
    <t xml:space="preserve">Subsequent Year Change </t>
  </si>
  <si>
    <t xml:space="preserve">Prior Year Formula Calculation </t>
  </si>
  <si>
    <t xml:space="preserve">Prior Year Formula Calculation Per Pupil </t>
  </si>
  <si>
    <t>Amount Using 1998-99</t>
  </si>
  <si>
    <t>Amount Using 1999-2000</t>
  </si>
  <si>
    <t xml:space="preserve">1999-2000 Per Pupil State Share (Level 1 &amp; 2) </t>
  </si>
  <si>
    <t xml:space="preserve">Percent of Total </t>
  </si>
  <si>
    <t xml:space="preserve">Local Per Pupil ( Level 1 &amp; 2) </t>
  </si>
  <si>
    <t>Per Pupil Total MFP Cost (LEVEL 1 &amp; 2)</t>
  </si>
  <si>
    <t xml:space="preserve">TOTAL LEVEL 1 COSTS </t>
  </si>
  <si>
    <t xml:space="preserve">STATE SHARE OF LEVEL 1 </t>
  </si>
  <si>
    <t>4 - 5</t>
  </si>
  <si>
    <t>6 / 4 months</t>
  </si>
  <si>
    <t>5 / 8 months</t>
  </si>
  <si>
    <t>7 - 8</t>
  </si>
  <si>
    <t>col. 4</t>
  </si>
  <si>
    <t>SCHOOL DISTRICTS</t>
  </si>
  <si>
    <t>Due Parish (+)</t>
  </si>
  <si>
    <t>Due State (-)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</si>
  <si>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</si>
  <si>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</si>
  <si>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</si>
  <si>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</si>
  <si>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</si>
  <si>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</si>
  <si>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</si>
  <si>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</si>
  <si>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</si>
  <si>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</si>
  <si>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</si>
  <si>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</si>
  <si>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</si>
  <si>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</si>
  <si>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</si>
  <si>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</si>
  <si>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</si>
  <si>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</si>
  <si>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</si>
  <si>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</si>
  <si>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</si>
  <si>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</si>
  <si>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</si>
  <si>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</si>
  <si>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</si>
  <si>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</si>
  <si>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</si>
  <si>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</si>
  <si>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</si>
  <si>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</si>
  <si>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</si>
  <si>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</si>
  <si>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</si>
  <si>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</si>
  <si>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</si>
  <si>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</si>
  <si>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</si>
  <si>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</si>
  <si>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</si>
  <si>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</si>
  <si>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</si>
  <si>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</si>
  <si>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</si>
  <si>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</si>
  <si>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</si>
  <si>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</si>
  <si>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</si>
  <si>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</si>
  <si>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</si>
  <si>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</si>
  <si>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</si>
  <si>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</si>
  <si>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</si>
  <si>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</si>
  <si>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</si>
  <si>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</si>
  <si>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</si>
  <si>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</si>
  <si>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</si>
  <si>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</si>
  <si>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</si>
  <si>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</si>
  <si>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</si>
  <si>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</si>
  <si>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</si>
  <si>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</si>
  <si>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</si>
  <si>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</si>
  <si>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</si>
  <si>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</si>
  <si>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</si>
  <si>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</si>
  <si>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</si>
  <si>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</si>
  <si>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</si>
  <si>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</si>
  <si>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</si>
  <si>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</si>
  <si>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1999-2000 One Time Adjustment Due to Drop in the Retierment Rate</t>
  </si>
  <si>
    <t xml:space="preserve">1999-2000 MFP State Share of Level 1 &amp; 2 </t>
  </si>
  <si>
    <t>1999-2000 Total MFP Distribution with Adjustments</t>
  </si>
  <si>
    <t>Total MFP Amount Distributed for the First 8 Months of 1999-2000</t>
  </si>
  <si>
    <t>MFP Balance to be Distributed for 1999-2000</t>
  </si>
  <si>
    <t>Monthly Payments March Through June</t>
  </si>
  <si>
    <t>Monthly Difference</t>
  </si>
  <si>
    <t>1999-2000 Budget Letter Actual With Adjustments</t>
  </si>
  <si>
    <t>%  Difference 1999-2000 Actual to Initial Allocation</t>
  </si>
  <si>
    <t>(3a)</t>
  </si>
  <si>
    <t>(3b)</t>
  </si>
  <si>
    <t>(4a)</t>
  </si>
  <si>
    <t>(4b)</t>
  </si>
  <si>
    <t>(5a)</t>
  </si>
  <si>
    <t>(5b)</t>
  </si>
  <si>
    <t>col 5 X col 1</t>
  </si>
  <si>
    <t>(6a)</t>
  </si>
  <si>
    <t>(6b)</t>
  </si>
  <si>
    <t>if col 2 is less than 7500, then 7500 less col 2</t>
  </si>
  <si>
    <t>col 7a / 37,500 max of 20% (7,500/37,500)</t>
  </si>
  <si>
    <t>col 7 x col 1</t>
  </si>
  <si>
    <t>col 7b x  col 2</t>
  </si>
  <si>
    <t>cols 3 + 4 + 5 + 6 + 7</t>
  </si>
  <si>
    <t>col 8 + col 2</t>
  </si>
  <si>
    <t>col 9 / Grand Tot of col 9</t>
  </si>
  <si>
    <t>(13)</t>
  </si>
  <si>
    <t>col 12 x col 11</t>
  </si>
  <si>
    <t>col 13 x grand total of col 10 x 35%</t>
  </si>
  <si>
    <t>col 14 / col10</t>
  </si>
  <si>
    <t>(16)</t>
  </si>
  <si>
    <t>col 10 - col 14</t>
  </si>
  <si>
    <t>col 16 / col 10</t>
  </si>
  <si>
    <t>if col 18-col 14&gt;0, then col 19 =col 18-col 14, otherwise col 19 = 0</t>
  </si>
  <si>
    <t>if col 18-col 14&lt;0, then col 20 =col 18-col 14, otherwise col 20 = 0</t>
  </si>
  <si>
    <t>col 10 x 33%</t>
  </si>
  <si>
    <t>Lesser of Col 19 or 21</t>
  </si>
  <si>
    <t>col 23 / col 22</t>
  </si>
  <si>
    <t>col 22 + col 23</t>
  </si>
  <si>
    <t>col 16 + col 23</t>
  </si>
  <si>
    <t>col 27 / col 2</t>
  </si>
  <si>
    <t>(28a)</t>
  </si>
  <si>
    <t>(39a)</t>
  </si>
  <si>
    <t>if col 36 &gt; col 37 then col 36 otherwise 37</t>
  </si>
  <si>
    <t xml:space="preserve">  AD VALOREM CONSTITUTIONAL TAX</t>
  </si>
  <si>
    <t>AD VALOREM RENEWABLE TAXES</t>
  </si>
  <si>
    <t>(24)</t>
  </si>
  <si>
    <t>(25)</t>
  </si>
  <si>
    <t>(26)</t>
  </si>
  <si>
    <t>SUMMARY OF ADVALOREM TAXES</t>
  </si>
  <si>
    <t>AFR-kpc 62220 col 3</t>
  </si>
  <si>
    <t>AFR-kpc 62320 col 3</t>
  </si>
  <si>
    <t>AFR-kpc 62320 col 4</t>
  </si>
  <si>
    <t>AFR-kpc 62320 col 5</t>
  </si>
  <si>
    <t>AFR-kpc 62320 col 6</t>
  </si>
  <si>
    <t>AFR-kpc 62320 col 7</t>
  </si>
  <si>
    <t>AFR-kpc 62320 col 8</t>
  </si>
  <si>
    <t>col 5 + col 7 + col 11</t>
  </si>
  <si>
    <t>AFR-kpc 62620 col 3</t>
  </si>
  <si>
    <t>AFR-kpc 62620 col 4</t>
  </si>
  <si>
    <t>AFR-kpc 62620 col 5</t>
  </si>
  <si>
    <t>AFR-kpc 62620 col 6</t>
  </si>
  <si>
    <t>AFR-kpc 62620 col 7</t>
  </si>
  <si>
    <t>AFR-kpc 62620 col 8</t>
  </si>
  <si>
    <t>col 4 + col 6 + col 13</t>
  </si>
  <si>
    <t>col 12 + col 19</t>
  </si>
  <si>
    <t>(col 12/ col 3) * 1000</t>
  </si>
  <si>
    <t>(col 19 / col 3) * 1000</t>
  </si>
  <si>
    <t>(col 23 / col 3) * 1000</t>
  </si>
  <si>
    <t>AFR-kpc 63300 col 3</t>
  </si>
  <si>
    <t>AFR kpc 63320 col 4</t>
  </si>
  <si>
    <t>AFR kpc 63320 col 5</t>
  </si>
  <si>
    <t>FISCAL CAPACITY INDEX LWF</t>
  </si>
  <si>
    <t>Table 5 col 9</t>
  </si>
  <si>
    <t xml:space="preserve">Table 6 (grand total col 26 x col 3 / 1000) </t>
  </si>
  <si>
    <t>Includes state and federal taxes in lieu of &amp; 50% of earnings from 16th section and from other real estate</t>
  </si>
  <si>
    <t>col 5 / grand col 5</t>
  </si>
  <si>
    <t>RANK OF LWF</t>
  </si>
  <si>
    <t>Table 6 col 26</t>
  </si>
  <si>
    <t>Table 6 col 23</t>
  </si>
  <si>
    <t>Table 6 col 27</t>
  </si>
  <si>
    <t>table 6a col 3b</t>
  </si>
  <si>
    <t xml:space="preserve">table 6 col 30 </t>
  </si>
  <si>
    <t>(9a)</t>
  </si>
  <si>
    <t xml:space="preserve">ALL REVENUES  (INCLUDING DEBT) </t>
  </si>
  <si>
    <t>(8B)</t>
  </si>
  <si>
    <t>col 7A / col 1</t>
  </si>
  <si>
    <t>col 8A / col 1</t>
  </si>
  <si>
    <t>(col 7a + 8a + 9)</t>
  </si>
  <si>
    <t>(10A)</t>
  </si>
  <si>
    <t>col 10/ col 1</t>
  </si>
  <si>
    <t>Rank Effort</t>
  </si>
  <si>
    <t>Based on 65/35% State/Local Share of Level 1 Cost and Level 2 at 40%</t>
  </si>
  <si>
    <t>(2a)</t>
  </si>
  <si>
    <t>(2b)</t>
  </si>
  <si>
    <t>1+2a+2b+3</t>
  </si>
  <si>
    <t>1998-99 BUDGET</t>
  </si>
  <si>
    <t>LETTER FACTORS</t>
  </si>
  <si>
    <t>&amp; COST</t>
  </si>
  <si>
    <t>Level 1 Base Per Pupil Amount</t>
  </si>
  <si>
    <t>1.</t>
  </si>
  <si>
    <t>October 1 Membership</t>
  </si>
  <si>
    <t>2.</t>
  </si>
  <si>
    <t>At-Risk Weight Factor (17%)</t>
  </si>
  <si>
    <t>3.</t>
  </si>
  <si>
    <t>Vocational Weight Factor (5%)</t>
  </si>
  <si>
    <t>4.</t>
  </si>
  <si>
    <t>Exceptionalities Weight Factor (150%)</t>
  </si>
  <si>
    <t>5.</t>
  </si>
  <si>
    <t>Gifted/Talented Weight Factor (60%)</t>
  </si>
  <si>
    <t>6.</t>
  </si>
  <si>
    <t xml:space="preserve">     (Max 20% at zero Membership &lt;7,500)</t>
  </si>
  <si>
    <t>Total Level 1 State and Local Costs (A X B)</t>
  </si>
  <si>
    <t>State Share of Cost (C X 65%)</t>
  </si>
  <si>
    <t>Local Share of Cost (C X 35%)</t>
  </si>
  <si>
    <t>Level 2 Eligible Local Revenue</t>
  </si>
  <si>
    <t>Fully Implemented Formula State Share</t>
  </si>
  <si>
    <t>(C1 +D1)</t>
  </si>
  <si>
    <t>State Aid Increase Due</t>
  </si>
  <si>
    <t>Level 1 &amp; 2 Implementation Rates:</t>
  </si>
  <si>
    <t>Non-Pay Raise</t>
  </si>
  <si>
    <t>Total Rate</t>
  </si>
  <si>
    <t>Amount Implemented</t>
  </si>
  <si>
    <t>Level 1 &amp; 2 State Share</t>
  </si>
  <si>
    <t>Level 3 - Pay Enhancement</t>
  </si>
  <si>
    <t>Total State Share Implementation of</t>
  </si>
  <si>
    <t>LSU Lab School</t>
  </si>
  <si>
    <t>Southern Univ. Lab School</t>
  </si>
  <si>
    <t>Plus/(Minus) Prior Year Adjustments</t>
  </si>
  <si>
    <t>Total State MFP Appropriation</t>
  </si>
  <si>
    <t>Budget Amendment to Increase/(Decrease)</t>
  </si>
  <si>
    <t>TABLE 1: STATE LEVEL COMPARISON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</si>
  <si>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</si>
  <si>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</si>
  <si>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</si>
  <si>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</si>
  <si>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</si>
  <si>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</si>
  <si>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</si>
  <si>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</si>
  <si>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</si>
  <si>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</si>
  <si>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</si>
  <si>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</si>
  <si>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</si>
  <si>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</si>
  <si>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</si>
  <si>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</si>
  <si>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Number of Students as of 1-Oct-98¹</t>
  </si>
  <si>
    <t>Total Allocation</t>
  </si>
  <si>
    <t>University Budget</t>
  </si>
  <si>
    <t>a</t>
  </si>
  <si>
    <t>b</t>
  </si>
  <si>
    <t>c=a*b</t>
  </si>
  <si>
    <t>d</t>
  </si>
  <si>
    <t>Southern Lab School</t>
  </si>
  <si>
    <t xml:space="preserve">TOTAL </t>
  </si>
  <si>
    <t xml:space="preserve">¹Students in the Lab schools are funded per the Minimum Foundation Program definition as approved by the State Board of Elementary and Secondary Education (BESE) </t>
  </si>
  <si>
    <t>² Amount allocated from the MFP budget</t>
  </si>
  <si>
    <t>Amount Allocated for the First 8 Months</t>
  </si>
  <si>
    <t>Total Allocation for the 4 months</t>
  </si>
  <si>
    <t>Monthly Payments for March thru June</t>
  </si>
  <si>
    <t>h=g/4</t>
  </si>
  <si>
    <t xml:space="preserve">1998-99 MFP PER AUDIT ADJUSTMENT </t>
  </si>
  <si>
    <t>Table 6a col 6 Capacity Index</t>
  </si>
  <si>
    <t>(46)</t>
  </si>
  <si>
    <t>((1-{ (1-.4) x col 11}) x col 21) - col 23 if &gt; 0, otherwise 0</t>
  </si>
  <si>
    <t>col 28a / 27a</t>
  </si>
  <si>
    <t>Table 6 (total col 27*col 31)</t>
  </si>
  <si>
    <t>col 10A / col 5</t>
  </si>
  <si>
    <t>Table 7 - Oct 1, 1999 MFP Student Membership</t>
  </si>
  <si>
    <t xml:space="preserve">Note: Based upon 1-Oct-99 reported SIS enrollment, excluding:  Pre-Kindergarten (Grade 24); Students reaching age 22 before the First Day of Class; and Students at excluded Site Codes (e.g.,  LSU &amp; Southern University Lab schools and Type </t>
  </si>
  <si>
    <t>Oct. 1,</t>
  </si>
  <si>
    <t>1999</t>
  </si>
  <si>
    <t>1998</t>
  </si>
  <si>
    <t>Membership</t>
  </si>
  <si>
    <t>Infants</t>
  </si>
  <si>
    <t>Pre-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</si>
  <si>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</si>
  <si>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</si>
  <si>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</si>
  <si>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</si>
  <si>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</si>
  <si>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</si>
  <si>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</si>
  <si>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</si>
  <si>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</si>
  <si>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</si>
  <si>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</si>
  <si>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</si>
  <si>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</si>
  <si>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</si>
  <si>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</si>
  <si>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Ungraded</t>
  </si>
  <si>
    <t>LEA Total</t>
  </si>
  <si>
    <t>Change</t>
  </si>
  <si>
    <t>School</t>
  </si>
  <si>
    <t>ADJUSTED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</si>
  <si>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</si>
  <si>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</si>
  <si>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</si>
  <si>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</si>
  <si>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</si>
  <si>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</si>
  <si>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</si>
  <si>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</si>
  <si>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</si>
  <si>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</si>
  <si>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</si>
  <si>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</si>
  <si>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</si>
  <si>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</si>
  <si>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</si>
  <si>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</si>
  <si>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</si>
  <si>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</si>
  <si>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</si>
  <si>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</si>
  <si>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</si>
  <si>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</si>
  <si>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</si>
  <si>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</si>
  <si>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</si>
  <si>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</si>
  <si>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</si>
  <si>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</si>
  <si>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</si>
  <si>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</si>
  <si>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</si>
  <si>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</si>
  <si>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</si>
  <si>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</si>
  <si>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</si>
  <si>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</si>
  <si>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</si>
  <si>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</si>
  <si>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</si>
  <si>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</si>
  <si>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</si>
  <si>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</si>
  <si>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</si>
  <si>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</si>
  <si>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</si>
  <si>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</si>
  <si>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</si>
  <si>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</si>
  <si>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</si>
  <si>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</si>
  <si>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</si>
  <si>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</si>
  <si>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</si>
  <si>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</si>
  <si>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</si>
  <si>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</si>
  <si>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</si>
  <si>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</si>
  <si>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</si>
  <si>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</si>
  <si>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</si>
  <si>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</si>
  <si>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</si>
  <si>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</si>
  <si>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State Totals</t>
  </si>
  <si>
    <t>MFP MONTHLY PAYMENTS MARCH-JUNE 1999-2000</t>
  </si>
  <si>
    <t>Note: Livingston parish was denied one child in the October 1 count of 1997-98.  As a result Livingston Parish 1998-99 Audit Adjustments Due State includes $2,913.  Caddo Parish received $1,899 in 1998-99 Audit Adjustments Due Parish because of inclusion of one child in the 1997-98 other exceptionalities count.  Tangipahoa parish was denied 27 students in the October 1 count of 1997-98.  This was initially taken out of the preliminary audit adjustments in the initial budget letter worth $82,390 for the full year of this amount $54,927 is already included in the MFP monthly payments until February.  The 27 students were adjusted in the 1997-98 adjusted budget letter which resulted in $76,857.  Therefore, Tangipahoa parish Audit Adjustments Due State amounts to $21,930 which is the balance of  $54,927 and $76,857.</t>
  </si>
  <si>
    <t xml:space="preserve">TABLE 3: DISTRICT LEVEL DISTRIBUTION </t>
  </si>
  <si>
    <t xml:space="preserve">Weighted Add-On Students Gifted/ Talented </t>
  </si>
  <si>
    <t>e=c-d</t>
  </si>
  <si>
    <t>f</t>
  </si>
  <si>
    <r>
      <t xml:space="preserve">Total Allocation less University Budget </t>
    </r>
    <r>
      <rPr>
        <vertAlign val="superscript"/>
        <sz val="10"/>
        <rFont val="Arial"/>
        <family val="2"/>
      </rPr>
      <t>2</t>
    </r>
  </si>
  <si>
    <t>g=e-f</t>
  </si>
  <si>
    <t>Circular # 908</t>
  </si>
  <si>
    <t>Circular # 921</t>
  </si>
  <si>
    <t>Leg. Projection</t>
  </si>
  <si>
    <t>Initial Allocation</t>
  </si>
  <si>
    <t>LEA Projection</t>
  </si>
  <si>
    <t>Circular #991</t>
  </si>
  <si>
    <t>Changes From</t>
  </si>
  <si>
    <t>Comparison of 1998-99 Budget Letter to 1999-2000 Budget Letter</t>
  </si>
  <si>
    <t>MFP Formula Items</t>
  </si>
  <si>
    <t>1996-97 BUDGET</t>
  </si>
  <si>
    <t>1997-98 BUDGET</t>
  </si>
  <si>
    <t>1998-99 Budget</t>
  </si>
  <si>
    <t>1998-99  BUDGET</t>
  </si>
  <si>
    <t xml:space="preserve">1996-97 to </t>
  </si>
  <si>
    <t>1997-98 to</t>
  </si>
  <si>
    <t>Leg. Projection to</t>
  </si>
  <si>
    <t>1999-2000 BUDGET</t>
  </si>
  <si>
    <t>%</t>
  </si>
  <si>
    <t>1997-98</t>
  </si>
  <si>
    <t>1998-99</t>
  </si>
  <si>
    <t>Preliminary Budget</t>
  </si>
  <si>
    <t>Total Weighted Membership *</t>
  </si>
  <si>
    <t xml:space="preserve">Economy-of-Scale Weight Factor </t>
  </si>
  <si>
    <t>Total Local Revenues in MFP</t>
  </si>
  <si>
    <t>Total Net Assessed Property</t>
  </si>
  <si>
    <t>Total Est. Sales Tax Base</t>
  </si>
  <si>
    <t>Average Equivalent Millage Rate</t>
  </si>
  <si>
    <t>Average Equivalent Sales Tax Rate</t>
  </si>
  <si>
    <t>Property Tax Revenue</t>
  </si>
  <si>
    <t>Sales Tax Revenue</t>
  </si>
  <si>
    <t>7.</t>
  </si>
  <si>
    <t>Other Revenues Considered</t>
  </si>
  <si>
    <t>Level 2 State Support (E X 40%)</t>
  </si>
  <si>
    <t>Level 2 State Liability</t>
  </si>
  <si>
    <t>24.5%</t>
  </si>
  <si>
    <t>Pay Raise (Variable**)</t>
  </si>
  <si>
    <t>6.07%</t>
  </si>
  <si>
    <t>30.57%</t>
  </si>
  <si>
    <t>Level 1 &amp; 2 State Share Deferred (G4-F1)</t>
  </si>
  <si>
    <t>Based on Prior Year Per Pupil</t>
  </si>
  <si>
    <t>Level 1 and 2 State Share (E1+F1+G4+H)</t>
  </si>
  <si>
    <t>Total State Formula  Allocation (I + J)</t>
  </si>
  <si>
    <t>Act 880 of 1997 Total Funding***:</t>
  </si>
  <si>
    <t>Total MFP Allocation (K + L)</t>
  </si>
  <si>
    <t>Adjustments</t>
  </si>
  <si>
    <t>Other Adjustments</t>
  </si>
  <si>
    <t>Total MFP Distribution (M + N)</t>
  </si>
  <si>
    <t>MFP Distribution Annual Increase</t>
  </si>
  <si>
    <t>Q.</t>
  </si>
  <si>
    <t>MFP Appropriation (O - P)</t>
  </si>
  <si>
    <t xml:space="preserve"> TABLE 8 - 1998-99 LOCAL SCHOOL SYSTEMS TAX DATA</t>
  </si>
  <si>
    <t>TABLE 6 - CALCULATION OF LOCAL WEALTH FACTOR (LWF) AND THE EFFORT INDEX</t>
  </si>
  <si>
    <t>TOTAL LOCAL REVENUES FOR USE IN MFP LEVEL 2</t>
  </si>
  <si>
    <t>TABLE 5 - FY 1999-2000 ALLOCATION FOR THE LAB SCHOOLS</t>
  </si>
  <si>
    <t>(6c)</t>
  </si>
  <si>
    <t>(34)</t>
  </si>
  <si>
    <t>Table 8 col 34</t>
  </si>
  <si>
    <t>if (1-{ (1-.4) x col 11}) x col 22 &gt; 0, then 23= (1-{ (1-.4) x col 11}) x col 22, otherwise 0</t>
  </si>
  <si>
    <t>hide</t>
  </si>
  <si>
    <t>(28b)</t>
  </si>
  <si>
    <t xml:space="preserve">col 28 / prior yr. Audited Membership </t>
  </si>
  <si>
    <t>(31a)</t>
  </si>
  <si>
    <t>(31b)</t>
  </si>
  <si>
    <t>col 34 -col 28</t>
  </si>
  <si>
    <t>if col 32&gt; col 33 then col 31 = col 32-col 33 otherwise 0</t>
  </si>
  <si>
    <t>if col 31 &gt; 0 then col 1 otherwise 0</t>
  </si>
  <si>
    <t>col 31 / col 31a</t>
  </si>
  <si>
    <t>if col 28a * col 1&gt; col 28, then col 32 = col 28 otherwise col 28a * col 1</t>
  </si>
  <si>
    <t>col 27a * col 1</t>
  </si>
  <si>
    <t>(34a)</t>
  </si>
  <si>
    <t>col 39/ col 1</t>
  </si>
  <si>
    <t>col 34a /  col 27a</t>
  </si>
  <si>
    <t>col 34 / col 27</t>
  </si>
  <si>
    <t>col (14 + 22 - 31)</t>
  </si>
  <si>
    <t>(37a)</t>
  </si>
  <si>
    <t>(38)</t>
  </si>
  <si>
    <t>col 37 / col 1</t>
  </si>
  <si>
    <t>col 37 / col 39</t>
  </si>
  <si>
    <t>(39)</t>
  </si>
  <si>
    <t>col 34 + col 37</t>
  </si>
  <si>
    <t>col 39 / col 1</t>
  </si>
  <si>
    <t>if col 27&gt; col 28, then col 30 = col. 27-col 28 otherwise 0</t>
  </si>
  <si>
    <t xml:space="preserve">State Aid Increase Due </t>
  </si>
  <si>
    <t>Circular # 1061</t>
  </si>
  <si>
    <t>1998-99 Adjustments Due to Student, PEP and AFR Audits</t>
  </si>
  <si>
    <t>Annual Difference 1999-2000 Actual with Adjustments to Initial Allocation with Adjustments</t>
  </si>
  <si>
    <t>Monthly Payments July through February</t>
  </si>
  <si>
    <t xml:space="preserve"> 4 - 8</t>
  </si>
  <si>
    <t>Revised Initial September 1999-2000 Allocation With Adjustments</t>
  </si>
  <si>
    <t xml:space="preserve">TABLE 2: DISTRICT LEVEL MFP 1999-00 SUMMARY (Implementation at 100%) </t>
  </si>
  <si>
    <t xml:space="preserve">Weighted Add-On Students Other Excep - tionalities </t>
  </si>
  <si>
    <t>LEVEL 1 - BASE FOUNDATION OF STATE AND LOCAL COSTS (65/35%)</t>
  </si>
  <si>
    <t>TABLE 4: 1999-2000 MINIMUM FOUNDATION PROGRAM (MFP) LEVEL 1 &amp; 2</t>
  </si>
  <si>
    <t xml:space="preserve">Prior Year Formula Calculation Pupils </t>
  </si>
  <si>
    <t xml:space="preserve">Difference Between Revised Initial 1999-2000 MFP &amp; 1998-99 MFP </t>
  </si>
  <si>
    <t>Difference Between  1999-2000 MFP With Adjustments &amp; Revised Initial 1999-2000 MFP with Adjustments</t>
  </si>
  <si>
    <t>(2)</t>
  </si>
  <si>
    <t>(3) = (2) - (1)</t>
  </si>
  <si>
    <t>COMPARISON OF FY 1998-99 MFP, REVISED INITIAL FY 1999-2000 MFP WITH ADJUSTMENTS AND FY 1999-2000 MFP WITH ADJUSTMENTS</t>
  </si>
  <si>
    <t>1998-99 Total MFP Distribution with Adjustments (Budget Letter)</t>
  </si>
  <si>
    <t>Revised Initial 1999-2000 Allocation With Adjustments (September)</t>
  </si>
  <si>
    <t>1999-2000 Total MFP Distribution with Adjustments (Budget Letter)</t>
  </si>
  <si>
    <t xml:space="preserve">Difference Between 1999-2000 and 1998-99 MFP Distribution with Adjustments </t>
  </si>
  <si>
    <t>(4) = (3) - ( 2)</t>
  </si>
  <si>
    <t>(5) = (3) - (1)</t>
  </si>
  <si>
    <r>
      <t xml:space="preserve">TABLE 2: </t>
    </r>
    <r>
      <rPr>
        <b/>
        <i/>
        <sz val="18"/>
        <rFont val="Arial Narrow"/>
        <family val="2"/>
      </rPr>
      <t>Continued--</t>
    </r>
  </si>
  <si>
    <r>
      <t xml:space="preserve">TABLE 2: </t>
    </r>
    <r>
      <rPr>
        <b/>
        <i/>
        <sz val="18"/>
        <rFont val="Arial Narrow"/>
        <family val="2"/>
      </rPr>
      <t xml:space="preserve">Continued-- </t>
    </r>
  </si>
  <si>
    <r>
      <t xml:space="preserve">TABLE 3: </t>
    </r>
    <r>
      <rPr>
        <b/>
        <i/>
        <sz val="18"/>
        <rFont val="Arial Narrow"/>
        <family val="2"/>
      </rPr>
      <t xml:space="preserve">Continued-- </t>
    </r>
  </si>
  <si>
    <t>TABLE 4: Continued--</t>
  </si>
  <si>
    <r>
      <t xml:space="preserve">TABLE 4: </t>
    </r>
    <r>
      <rPr>
        <b/>
        <i/>
        <sz val="18"/>
        <rFont val="Arial Narrow"/>
        <family val="2"/>
      </rPr>
      <t>Continued--</t>
    </r>
  </si>
  <si>
    <t>Based on the State Average MFP Per Pupil Amount (Per Circular # 1061)</t>
  </si>
  <si>
    <r>
      <t>MFP State Average Per Pupil</t>
    </r>
    <r>
      <rPr>
        <i/>
        <sz val="10"/>
        <rFont val="Arial"/>
        <family val="2"/>
      </rPr>
      <t xml:space="preserve"> (Circular # 1061)</t>
    </r>
  </si>
  <si>
    <r>
      <t xml:space="preserve">TABLE 6 Effort Index: </t>
    </r>
    <r>
      <rPr>
        <b/>
        <i/>
        <sz val="18"/>
        <rFont val="Arial Narrow"/>
        <family val="2"/>
      </rPr>
      <t>Continued --</t>
    </r>
  </si>
  <si>
    <r>
      <t xml:space="preserve">TABLE 6 LWF: </t>
    </r>
    <r>
      <rPr>
        <b/>
        <i/>
        <sz val="18"/>
        <rFont val="Arial Narrow"/>
        <family val="2"/>
      </rPr>
      <t>Continued --</t>
    </r>
  </si>
  <si>
    <t>LEA</t>
  </si>
  <si>
    <t xml:space="preserve">GRADE LEVELS </t>
  </si>
  <si>
    <r>
      <t xml:space="preserve">Table 7: </t>
    </r>
    <r>
      <rPr>
        <b/>
        <i/>
        <sz val="18"/>
        <rFont val="Arial"/>
        <family val="2"/>
      </rPr>
      <t>Continued --</t>
    </r>
  </si>
  <si>
    <t>GRADE LEVLES</t>
  </si>
  <si>
    <r>
      <t xml:space="preserve">TABLE 8: </t>
    </r>
    <r>
      <rPr>
        <b/>
        <i/>
        <sz val="18"/>
        <rFont val="Arial Narrow"/>
        <family val="2"/>
      </rPr>
      <t>Continued--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</si>
</sst>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0.0%"/>
    <numFmt numFmtId="174" formatCode="#,##0.0"/>
    <numFmt numFmtId="175" formatCode="&quot;$&quot;#,##0.0_);[Red]\(&quot;$&quot;#,##0.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_);_(* \(#,##0.000000\);_(* &quot;-&quot;??????_);_(@_)"/>
    <numFmt numFmtId="183" formatCode="#,##0.000"/>
    <numFmt numFmtId="184" formatCode="#,##0.0000"/>
    <numFmt numFmtId="185" formatCode="#,##0.00000"/>
    <numFmt numFmtId="186" formatCode="#,##0.000000"/>
    <numFmt numFmtId="187" formatCode="&quot;$&quot;#,##0.0"/>
    <numFmt numFmtId="188" formatCode="&quot;$&quot;#,##0.00"/>
    <numFmt numFmtId="189" formatCode="dd\-mmm\-yy_)"/>
    <numFmt numFmtId="190" formatCode="&quot;$&quot;#,##0.0_);\(&quot;$&quot;#,##0.0\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0;[Red]#,##0.00"/>
    <numFmt numFmtId="194" formatCode="&quot;$&quot;#,##0.00;[Red]&quot;$&quot;#,##0.00"/>
    <numFmt numFmtId="195" formatCode="&quot;$&quot;#,##0.0;[Red]&quot;$&quot;#,##0.0"/>
    <numFmt numFmtId="196" formatCode="&quot;$&quot;#,##0;[Red]&quot;$&quot;#,##0"/>
  </numFmts>
  <fonts count="61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20"/>
      <name val="Arial Narrow"/>
      <family val="2"/>
    </font>
    <font>
      <i/>
      <sz val="10"/>
      <name val="Arial"/>
      <family val="2"/>
    </font>
    <font>
      <i/>
      <sz val="14"/>
      <name val="Arial"/>
      <family val="2"/>
    </font>
    <font>
      <sz val="18"/>
      <color indexed="12"/>
      <name val="Impact"/>
      <family val="2"/>
    </font>
    <font>
      <vertAlign val="superscript"/>
      <sz val="10"/>
      <name val="Arial"/>
      <family val="2"/>
    </font>
    <font>
      <b/>
      <i/>
      <sz val="10"/>
      <name val="Arial Narrow"/>
      <family val="2"/>
    </font>
    <font>
      <b/>
      <i/>
      <sz val="18"/>
      <name val="Arial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i/>
      <sz val="18"/>
      <name val="Arial Narrow"/>
      <family val="2"/>
    </font>
    <font>
      <sz val="18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  <bgColor indexed="9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171" fontId="0" fillId="0" borderId="0" xfId="0" applyNumberFormat="1" applyFont="1" applyAlignment="1">
      <alignment/>
    </xf>
    <xf numFmtId="166" fontId="0" fillId="0" borderId="0" xfId="42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"/>
      <protection/>
    </xf>
    <xf numFmtId="5" fontId="0" fillId="0" borderId="11" xfId="0" applyNumberFormat="1" applyFont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/>
    </xf>
    <xf numFmtId="5" fontId="4" fillId="34" borderId="14" xfId="0" applyNumberFormat="1" applyFont="1" applyFill="1" applyBorder="1" applyAlignment="1" applyProtection="1">
      <alignment/>
      <protection/>
    </xf>
    <xf numFmtId="5" fontId="4" fillId="33" borderId="14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10" fontId="0" fillId="0" borderId="23" xfId="0" applyNumberFormat="1" applyFont="1" applyBorder="1" applyAlignment="1" applyProtection="1">
      <alignment/>
      <protection/>
    </xf>
    <xf numFmtId="10" fontId="0" fillId="0" borderId="11" xfId="0" applyNumberFormat="1" applyFont="1" applyBorder="1" applyAlignment="1" applyProtection="1">
      <alignment/>
      <protection/>
    </xf>
    <xf numFmtId="10" fontId="4" fillId="33" borderId="14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5" fontId="0" fillId="0" borderId="15" xfId="0" applyNumberFormat="1" applyFont="1" applyBorder="1" applyAlignment="1" applyProtection="1">
      <alignment/>
      <protection/>
    </xf>
    <xf numFmtId="10" fontId="0" fillId="0" borderId="15" xfId="0" applyNumberFormat="1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5" fontId="6" fillId="0" borderId="11" xfId="0" applyNumberFormat="1" applyFont="1" applyFill="1" applyBorder="1" applyAlignment="1" applyProtection="1">
      <alignment/>
      <protection locked="0"/>
    </xf>
    <xf numFmtId="5" fontId="5" fillId="0" borderId="11" xfId="0" applyNumberFormat="1" applyFont="1" applyFill="1" applyBorder="1" applyAlignment="1" applyProtection="1">
      <alignment/>
      <protection locked="0"/>
    </xf>
    <xf numFmtId="5" fontId="0" fillId="0" borderId="11" xfId="0" applyNumberFormat="1" applyFont="1" applyFill="1" applyBorder="1" applyAlignment="1" applyProtection="1">
      <alignment/>
      <protection/>
    </xf>
    <xf numFmtId="5" fontId="4" fillId="0" borderId="11" xfId="0" applyNumberFormat="1" applyFont="1" applyFill="1" applyBorder="1" applyAlignment="1" applyProtection="1">
      <alignment/>
      <protection/>
    </xf>
    <xf numFmtId="10" fontId="0" fillId="0" borderId="11" xfId="0" applyNumberFormat="1" applyFont="1" applyFill="1" applyBorder="1" applyAlignment="1" applyProtection="1">
      <alignment/>
      <protection/>
    </xf>
    <xf numFmtId="5" fontId="4" fillId="0" borderId="15" xfId="0" applyNumberFormat="1" applyFont="1" applyFill="1" applyBorder="1" applyAlignment="1" applyProtection="1">
      <alignment/>
      <protection/>
    </xf>
    <xf numFmtId="166" fontId="3" fillId="0" borderId="0" xfId="42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9" fontId="10" fillId="36" borderId="1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9" fontId="10" fillId="36" borderId="24" xfId="0" applyNumberFormat="1" applyFont="1" applyFill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166" fontId="0" fillId="0" borderId="10" xfId="42" applyNumberFormat="1" applyFont="1" applyBorder="1" applyAlignment="1" quotePrefix="1">
      <alignment horizontal="center"/>
    </xf>
    <xf numFmtId="166" fontId="4" fillId="0" borderId="10" xfId="42" applyNumberFormat="1" applyFont="1" applyBorder="1" applyAlignment="1" quotePrefix="1">
      <alignment horizontal="center"/>
    </xf>
    <xf numFmtId="166" fontId="4" fillId="0" borderId="10" xfId="42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166" fontId="0" fillId="0" borderId="24" xfId="42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166" fontId="0" fillId="0" borderId="25" xfId="42" applyNumberFormat="1" applyFont="1" applyBorder="1" applyAlignment="1">
      <alignment/>
    </xf>
    <xf numFmtId="171" fontId="0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3" fontId="0" fillId="0" borderId="2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42" applyNumberFormat="1" applyFont="1" applyBorder="1" applyAlignment="1">
      <alignment/>
    </xf>
    <xf numFmtId="179" fontId="0" fillId="0" borderId="25" xfId="42" applyNumberFormat="1" applyFont="1" applyBorder="1" applyAlignment="1">
      <alignment/>
    </xf>
    <xf numFmtId="186" fontId="0" fillId="0" borderId="25" xfId="0" applyNumberFormat="1" applyFont="1" applyBorder="1" applyAlignment="1">
      <alignment/>
    </xf>
    <xf numFmtId="10" fontId="0" fillId="0" borderId="25" xfId="57" applyNumberFormat="1" applyFont="1" applyBorder="1" applyAlignment="1">
      <alignment/>
    </xf>
    <xf numFmtId="167" fontId="4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8" fontId="0" fillId="0" borderId="25" xfId="0" applyNumberFormat="1" applyFont="1" applyBorder="1" applyAlignment="1">
      <alignment/>
    </xf>
    <xf numFmtId="6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6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166" fontId="0" fillId="0" borderId="26" xfId="42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71" fontId="0" fillId="0" borderId="26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6" fontId="4" fillId="0" borderId="26" xfId="0" applyNumberFormat="1" applyFont="1" applyBorder="1" applyAlignment="1">
      <alignment/>
    </xf>
    <xf numFmtId="8" fontId="0" fillId="0" borderId="26" xfId="0" applyNumberFormat="1" applyFont="1" applyBorder="1" applyAlignment="1">
      <alignment/>
    </xf>
    <xf numFmtId="10" fontId="0" fillId="0" borderId="26" xfId="57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174" fontId="0" fillId="0" borderId="25" xfId="42" applyNumberFormat="1" applyFont="1" applyBorder="1" applyAlignment="1">
      <alignment/>
    </xf>
    <xf numFmtId="179" fontId="4" fillId="0" borderId="25" xfId="42" applyNumberFormat="1" applyFont="1" applyBorder="1" applyAlignment="1">
      <alignment/>
    </xf>
    <xf numFmtId="167" fontId="0" fillId="0" borderId="25" xfId="0" applyNumberFormat="1" applyFont="1" applyBorder="1" applyAlignment="1">
      <alignment horizontal="right" wrapText="1"/>
    </xf>
    <xf numFmtId="166" fontId="0" fillId="0" borderId="25" xfId="42" applyNumberFormat="1" applyFont="1" applyBorder="1" applyAlignment="1">
      <alignment horizontal="right" wrapText="1"/>
    </xf>
    <xf numFmtId="6" fontId="0" fillId="0" borderId="25" xfId="0" applyNumberFormat="1" applyFont="1" applyBorder="1" applyAlignment="1">
      <alignment horizontal="right" wrapText="1"/>
    </xf>
    <xf numFmtId="43" fontId="0" fillId="0" borderId="25" xfId="42" applyFont="1" applyBorder="1" applyAlignment="1">
      <alignment/>
    </xf>
    <xf numFmtId="172" fontId="0" fillId="0" borderId="25" xfId="0" applyNumberFormat="1" applyFont="1" applyBorder="1" applyAlignment="1">
      <alignment/>
    </xf>
    <xf numFmtId="0" fontId="0" fillId="0" borderId="27" xfId="0" applyFont="1" applyBorder="1" applyAlignment="1">
      <alignment/>
    </xf>
    <xf numFmtId="5" fontId="0" fillId="0" borderId="26" xfId="44" applyNumberFormat="1" applyFont="1" applyBorder="1" applyAlignment="1">
      <alignment/>
    </xf>
    <xf numFmtId="43" fontId="0" fillId="0" borderId="26" xfId="42" applyFont="1" applyBorder="1" applyAlignment="1">
      <alignment/>
    </xf>
    <xf numFmtId="179" fontId="4" fillId="0" borderId="26" xfId="42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6" fontId="0" fillId="0" borderId="26" xfId="44" applyNumberFormat="1" applyFont="1" applyBorder="1" applyAlignment="1">
      <alignment/>
    </xf>
    <xf numFmtId="3" fontId="0" fillId="0" borderId="2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167" fontId="0" fillId="0" borderId="28" xfId="0" applyNumberFormat="1" applyFont="1" applyBorder="1" applyAlignment="1">
      <alignment/>
    </xf>
    <xf numFmtId="3" fontId="0" fillId="0" borderId="28" xfId="42" applyNumberFormat="1" applyFont="1" applyBorder="1" applyAlignment="1">
      <alignment/>
    </xf>
    <xf numFmtId="171" fontId="0" fillId="0" borderId="28" xfId="0" applyNumberFormat="1" applyFont="1" applyBorder="1" applyAlignment="1">
      <alignment/>
    </xf>
    <xf numFmtId="179" fontId="0" fillId="0" borderId="28" xfId="42" applyNumberFormat="1" applyFont="1" applyBorder="1" applyAlignment="1">
      <alignment/>
    </xf>
    <xf numFmtId="186" fontId="0" fillId="0" borderId="28" xfId="0" applyNumberFormat="1" applyFont="1" applyBorder="1" applyAlignment="1">
      <alignment/>
    </xf>
    <xf numFmtId="10" fontId="0" fillId="0" borderId="28" xfId="57" applyNumberFormat="1" applyFont="1" applyBorder="1" applyAlignment="1">
      <alignment/>
    </xf>
    <xf numFmtId="167" fontId="4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174" fontId="0" fillId="0" borderId="28" xfId="42" applyNumberFormat="1" applyFont="1" applyBorder="1" applyAlignment="1">
      <alignment/>
    </xf>
    <xf numFmtId="179" fontId="4" fillId="0" borderId="28" xfId="42" applyNumberFormat="1" applyFont="1" applyBorder="1" applyAlignment="1">
      <alignment/>
    </xf>
    <xf numFmtId="167" fontId="0" fillId="0" borderId="28" xfId="0" applyNumberFormat="1" applyFont="1" applyBorder="1" applyAlignment="1">
      <alignment horizontal="right" wrapText="1"/>
    </xf>
    <xf numFmtId="166" fontId="0" fillId="0" borderId="28" xfId="42" applyNumberFormat="1" applyFont="1" applyBorder="1" applyAlignment="1">
      <alignment horizontal="right" wrapText="1"/>
    </xf>
    <xf numFmtId="6" fontId="0" fillId="0" borderId="28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15" xfId="0" applyFont="1" applyBorder="1" applyAlignment="1" applyProtection="1" quotePrefix="1">
      <alignment horizontal="center"/>
      <protection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6" fontId="0" fillId="0" borderId="25" xfId="0" applyNumberFormat="1" applyBorder="1" applyAlignment="1">
      <alignment/>
    </xf>
    <xf numFmtId="0" fontId="4" fillId="0" borderId="26" xfId="0" applyFont="1" applyBorder="1" applyAlignment="1">
      <alignment/>
    </xf>
    <xf numFmtId="166" fontId="4" fillId="0" borderId="26" xfId="42" applyNumberFormat="1" applyFont="1" applyBorder="1" applyAlignment="1">
      <alignment/>
    </xf>
    <xf numFmtId="8" fontId="4" fillId="0" borderId="26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166" fontId="0" fillId="0" borderId="24" xfId="42" applyNumberFormat="1" applyFont="1" applyBorder="1" applyAlignment="1">
      <alignment/>
    </xf>
    <xf numFmtId="166" fontId="0" fillId="0" borderId="25" xfId="42" applyNumberFormat="1" applyFont="1" applyBorder="1" applyAlignment="1">
      <alignment/>
    </xf>
    <xf numFmtId="166" fontId="0" fillId="0" borderId="28" xfId="42" applyNumberFormat="1" applyFont="1" applyBorder="1" applyAlignment="1">
      <alignment/>
    </xf>
    <xf numFmtId="0" fontId="4" fillId="0" borderId="27" xfId="0" applyFont="1" applyBorder="1" applyAlignment="1">
      <alignment/>
    </xf>
    <xf numFmtId="166" fontId="0" fillId="0" borderId="24" xfId="42" applyNumberFormat="1" applyFont="1" applyBorder="1" applyAlignment="1">
      <alignment horizontal="right"/>
    </xf>
    <xf numFmtId="166" fontId="0" fillId="0" borderId="25" xfId="42" applyNumberFormat="1" applyFont="1" applyBorder="1" applyAlignment="1">
      <alignment horizontal="right"/>
    </xf>
    <xf numFmtId="166" fontId="0" fillId="0" borderId="28" xfId="42" applyNumberFormat="1" applyFont="1" applyBorder="1" applyAlignment="1">
      <alignment horizontal="right"/>
    </xf>
    <xf numFmtId="166" fontId="0" fillId="0" borderId="28" xfId="42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0" fillId="0" borderId="28" xfId="0" applyNumberFormat="1" applyFont="1" applyBorder="1" applyAlignment="1">
      <alignment/>
    </xf>
    <xf numFmtId="167" fontId="0" fillId="0" borderId="15" xfId="0" applyNumberFormat="1" applyFont="1" applyBorder="1" applyAlignment="1" applyProtection="1">
      <alignment/>
      <protection/>
    </xf>
    <xf numFmtId="167" fontId="0" fillId="0" borderId="11" xfId="0" applyNumberFormat="1" applyFont="1" applyBorder="1" applyAlignment="1" applyProtection="1">
      <alignment/>
      <protection/>
    </xf>
    <xf numFmtId="167" fontId="0" fillId="0" borderId="11" xfId="0" applyNumberFormat="1" applyFont="1" applyBorder="1" applyAlignment="1" applyProtection="1">
      <alignment/>
      <protection locked="0"/>
    </xf>
    <xf numFmtId="9" fontId="10" fillId="36" borderId="10" xfId="57" applyFont="1" applyFill="1" applyBorder="1" applyAlignment="1">
      <alignment horizontal="right"/>
    </xf>
    <xf numFmtId="5" fontId="0" fillId="0" borderId="0" xfId="0" applyNumberFormat="1" applyFont="1" applyAlignment="1">
      <alignment/>
    </xf>
    <xf numFmtId="5" fontId="4" fillId="37" borderId="11" xfId="0" applyNumberFormat="1" applyFont="1" applyFill="1" applyBorder="1" applyAlignment="1" applyProtection="1">
      <alignment/>
      <protection/>
    </xf>
    <xf numFmtId="5" fontId="4" fillId="37" borderId="15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2" fontId="0" fillId="0" borderId="25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9" fontId="10" fillId="36" borderId="10" xfId="0" applyNumberFormat="1" applyFont="1" applyFill="1" applyBorder="1" applyAlignment="1">
      <alignment horizontal="right"/>
    </xf>
    <xf numFmtId="6" fontId="0" fillId="0" borderId="28" xfId="0" applyNumberFormat="1" applyFont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3" fontId="11" fillId="0" borderId="36" xfId="0" applyNumberFormat="1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173" fontId="11" fillId="0" borderId="41" xfId="0" applyNumberFormat="1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1" fillId="0" borderId="46" xfId="0" applyFont="1" applyFill="1" applyBorder="1" applyAlignment="1">
      <alignment horizontal="left"/>
    </xf>
    <xf numFmtId="0" fontId="11" fillId="0" borderId="47" xfId="0" applyFont="1" applyFill="1" applyBorder="1" applyAlignment="1">
      <alignment horizontal="center"/>
    </xf>
    <xf numFmtId="173" fontId="11" fillId="0" borderId="47" xfId="0" applyNumberFormat="1" applyFont="1" applyFill="1" applyBorder="1" applyAlignment="1" applyProtection="1">
      <alignment horizontal="center"/>
      <protection/>
    </xf>
    <xf numFmtId="0" fontId="11" fillId="0" borderId="48" xfId="0" applyFont="1" applyFill="1" applyBorder="1" applyAlignment="1">
      <alignment horizontal="center"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2" xfId="0" applyFont="1" applyFill="1" applyBorder="1" applyAlignment="1">
      <alignment horizontal="left"/>
    </xf>
    <xf numFmtId="0" fontId="13" fillId="0" borderId="53" xfId="0" applyFont="1" applyFill="1" applyBorder="1" applyAlignment="1">
      <alignment/>
    </xf>
    <xf numFmtId="173" fontId="13" fillId="0" borderId="53" xfId="0" applyNumberFormat="1" applyFont="1" applyFill="1" applyBorder="1" applyAlignment="1" applyProtection="1">
      <alignment/>
      <protection/>
    </xf>
    <xf numFmtId="0" fontId="13" fillId="0" borderId="54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left"/>
    </xf>
    <xf numFmtId="0" fontId="11" fillId="0" borderId="58" xfId="0" applyFont="1" applyFill="1" applyBorder="1" applyAlignment="1">
      <alignment horizontal="left"/>
    </xf>
    <xf numFmtId="5" fontId="13" fillId="0" borderId="59" xfId="0" applyNumberFormat="1" applyFont="1" applyFill="1" applyBorder="1" applyAlignment="1" applyProtection="1">
      <alignment/>
      <protection/>
    </xf>
    <xf numFmtId="173" fontId="13" fillId="0" borderId="59" xfId="0" applyNumberFormat="1" applyFont="1" applyFill="1" applyBorder="1" applyAlignment="1" applyProtection="1">
      <alignment/>
      <protection/>
    </xf>
    <xf numFmtId="173" fontId="13" fillId="0" borderId="60" xfId="0" applyNumberFormat="1" applyFont="1" applyFill="1" applyBorder="1" applyAlignment="1" applyProtection="1">
      <alignment/>
      <protection/>
    </xf>
    <xf numFmtId="5" fontId="13" fillId="0" borderId="60" xfId="0" applyNumberFormat="1" applyFont="1" applyFill="1" applyBorder="1" applyAlignment="1" applyProtection="1">
      <alignment/>
      <protection/>
    </xf>
    <xf numFmtId="173" fontId="13" fillId="0" borderId="57" xfId="0" applyNumberFormat="1" applyFont="1" applyFill="1" applyBorder="1" applyAlignment="1" applyProtection="1">
      <alignment/>
      <protection/>
    </xf>
    <xf numFmtId="173" fontId="13" fillId="0" borderId="61" xfId="0" applyNumberFormat="1" applyFont="1" applyFill="1" applyBorder="1" applyAlignment="1" applyProtection="1">
      <alignment/>
      <protection/>
    </xf>
    <xf numFmtId="0" fontId="11" fillId="0" borderId="39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/>
    </xf>
    <xf numFmtId="0" fontId="11" fillId="0" borderId="63" xfId="0" applyFont="1" applyFill="1" applyBorder="1" applyAlignment="1">
      <alignment horizontal="left"/>
    </xf>
    <xf numFmtId="37" fontId="13" fillId="0" borderId="59" xfId="0" applyNumberFormat="1" applyFont="1" applyFill="1" applyBorder="1" applyAlignment="1" applyProtection="1">
      <alignment/>
      <protection/>
    </xf>
    <xf numFmtId="37" fontId="13" fillId="0" borderId="60" xfId="0" applyNumberFormat="1" applyFont="1" applyFill="1" applyBorder="1" applyAlignment="1" applyProtection="1">
      <alignment/>
      <protection/>
    </xf>
    <xf numFmtId="5" fontId="13" fillId="0" borderId="61" xfId="0" applyNumberFormat="1" applyFont="1" applyFill="1" applyBorder="1" applyAlignment="1" applyProtection="1">
      <alignment/>
      <protection/>
    </xf>
    <xf numFmtId="0" fontId="11" fillId="0" borderId="62" xfId="0" applyFont="1" applyFill="1" applyBorder="1" applyAlignment="1">
      <alignment horizontal="center"/>
    </xf>
    <xf numFmtId="37" fontId="13" fillId="0" borderId="64" xfId="0" applyNumberFormat="1" applyFont="1" applyFill="1" applyBorder="1" applyAlignment="1" applyProtection="1">
      <alignment/>
      <protection/>
    </xf>
    <xf numFmtId="173" fontId="13" fillId="0" borderId="64" xfId="0" applyNumberFormat="1" applyFont="1" applyFill="1" applyBorder="1" applyAlignment="1" applyProtection="1">
      <alignment/>
      <protection/>
    </xf>
    <xf numFmtId="37" fontId="11" fillId="0" borderId="59" xfId="0" applyNumberFormat="1" applyFont="1" applyFill="1" applyBorder="1" applyAlignment="1" applyProtection="1">
      <alignment/>
      <protection/>
    </xf>
    <xf numFmtId="173" fontId="11" fillId="0" borderId="60" xfId="0" applyNumberFormat="1" applyFont="1" applyFill="1" applyBorder="1" applyAlignment="1" applyProtection="1">
      <alignment/>
      <protection/>
    </xf>
    <xf numFmtId="37" fontId="11" fillId="0" borderId="65" xfId="0" applyNumberFormat="1" applyFont="1" applyFill="1" applyBorder="1" applyAlignment="1" applyProtection="1">
      <alignment/>
      <protection/>
    </xf>
    <xf numFmtId="5" fontId="11" fillId="0" borderId="61" xfId="0" applyNumberFormat="1" applyFont="1" applyFill="1" applyBorder="1" applyAlignment="1" applyProtection="1">
      <alignment/>
      <protection/>
    </xf>
    <xf numFmtId="0" fontId="11" fillId="0" borderId="51" xfId="0" applyFont="1" applyFill="1" applyBorder="1" applyAlignment="1">
      <alignment horizontal="center"/>
    </xf>
    <xf numFmtId="37" fontId="13" fillId="0" borderId="53" xfId="0" applyNumberFormat="1" applyFont="1" applyFill="1" applyBorder="1" applyAlignment="1" applyProtection="1">
      <alignment horizontal="right"/>
      <protection/>
    </xf>
    <xf numFmtId="173" fontId="13" fillId="0" borderId="53" xfId="0" applyNumberFormat="1" applyFont="1" applyFill="1" applyBorder="1" applyAlignment="1" applyProtection="1">
      <alignment horizontal="right"/>
      <protection/>
    </xf>
    <xf numFmtId="37" fontId="11" fillId="0" borderId="53" xfId="0" applyNumberFormat="1" applyFont="1" applyFill="1" applyBorder="1" applyAlignment="1" applyProtection="1">
      <alignment horizontal="right"/>
      <protection/>
    </xf>
    <xf numFmtId="173" fontId="11" fillId="0" borderId="54" xfId="0" applyNumberFormat="1" applyFont="1" applyFill="1" applyBorder="1" applyAlignment="1" applyProtection="1">
      <alignment horizontal="right"/>
      <protection/>
    </xf>
    <xf numFmtId="37" fontId="11" fillId="0" borderId="54" xfId="0" applyNumberFormat="1" applyFont="1" applyFill="1" applyBorder="1" applyAlignment="1" applyProtection="1">
      <alignment/>
      <protection/>
    </xf>
    <xf numFmtId="173" fontId="13" fillId="0" borderId="0" xfId="0" applyNumberFormat="1" applyFont="1" applyFill="1" applyAlignment="1" applyProtection="1">
      <alignment/>
      <protection/>
    </xf>
    <xf numFmtId="5" fontId="11" fillId="0" borderId="43" xfId="0" applyNumberFormat="1" applyFont="1" applyFill="1" applyBorder="1" applyAlignment="1" applyProtection="1">
      <alignment/>
      <protection/>
    </xf>
    <xf numFmtId="0" fontId="11" fillId="0" borderId="57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37" fontId="13" fillId="0" borderId="59" xfId="0" applyNumberFormat="1" applyFont="1" applyFill="1" applyBorder="1" applyAlignment="1" applyProtection="1">
      <alignment horizontal="right"/>
      <protection/>
    </xf>
    <xf numFmtId="173" fontId="13" fillId="0" borderId="59" xfId="0" applyNumberFormat="1" applyFont="1" applyFill="1" applyBorder="1" applyAlignment="1" applyProtection="1">
      <alignment horizontal="right"/>
      <protection/>
    </xf>
    <xf numFmtId="173" fontId="13" fillId="0" borderId="60" xfId="0" applyNumberFormat="1" applyFont="1" applyFill="1" applyBorder="1" applyAlignment="1" applyProtection="1">
      <alignment horizontal="right"/>
      <protection/>
    </xf>
    <xf numFmtId="37" fontId="13" fillId="0" borderId="60" xfId="0" applyNumberFormat="1" applyFont="1" applyFill="1" applyBorder="1" applyAlignment="1" applyProtection="1">
      <alignment horizontal="right"/>
      <protection/>
    </xf>
    <xf numFmtId="0" fontId="13" fillId="0" borderId="57" xfId="0" applyFont="1" applyFill="1" applyBorder="1" applyAlignment="1">
      <alignment/>
    </xf>
    <xf numFmtId="0" fontId="11" fillId="0" borderId="57" xfId="0" applyFont="1" applyFill="1" applyBorder="1" applyAlignment="1">
      <alignment horizontal="center"/>
    </xf>
    <xf numFmtId="5" fontId="11" fillId="0" borderId="59" xfId="0" applyNumberFormat="1" applyFont="1" applyFill="1" applyBorder="1" applyAlignment="1" applyProtection="1">
      <alignment/>
      <protection/>
    </xf>
    <xf numFmtId="173" fontId="11" fillId="0" borderId="59" xfId="0" applyNumberFormat="1" applyFont="1" applyFill="1" applyBorder="1" applyAlignment="1" applyProtection="1">
      <alignment/>
      <protection/>
    </xf>
    <xf numFmtId="5" fontId="11" fillId="0" borderId="60" xfId="0" applyNumberFormat="1" applyFont="1" applyFill="1" applyBorder="1" applyAlignment="1" applyProtection="1">
      <alignment/>
      <protection/>
    </xf>
    <xf numFmtId="10" fontId="13" fillId="0" borderId="59" xfId="0" applyNumberFormat="1" applyFont="1" applyFill="1" applyBorder="1" applyAlignment="1" applyProtection="1">
      <alignment/>
      <protection/>
    </xf>
    <xf numFmtId="39" fontId="13" fillId="0" borderId="59" xfId="0" applyNumberFormat="1" applyFont="1" applyFill="1" applyBorder="1" applyAlignment="1" applyProtection="1">
      <alignment/>
      <protection/>
    </xf>
    <xf numFmtId="5" fontId="11" fillId="0" borderId="41" xfId="0" applyNumberFormat="1" applyFont="1" applyFill="1" applyBorder="1" applyAlignment="1" applyProtection="1">
      <alignment/>
      <protection/>
    </xf>
    <xf numFmtId="173" fontId="11" fillId="0" borderId="41" xfId="0" applyNumberFormat="1" applyFont="1" applyFill="1" applyBorder="1" applyAlignment="1" applyProtection="1">
      <alignment/>
      <protection/>
    </xf>
    <xf numFmtId="173" fontId="11" fillId="0" borderId="42" xfId="0" applyNumberFormat="1" applyFont="1" applyFill="1" applyBorder="1" applyAlignment="1" applyProtection="1">
      <alignment/>
      <protection/>
    </xf>
    <xf numFmtId="5" fontId="11" fillId="0" borderId="4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42" xfId="0" applyFont="1" applyFill="1" applyBorder="1" applyAlignment="1">
      <alignment/>
    </xf>
    <xf numFmtId="173" fontId="13" fillId="0" borderId="42" xfId="0" applyNumberFormat="1" applyFont="1" applyFill="1" applyBorder="1" applyAlignment="1" applyProtection="1">
      <alignment/>
      <protection/>
    </xf>
    <xf numFmtId="0" fontId="13" fillId="0" borderId="41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10" fontId="13" fillId="0" borderId="59" xfId="0" applyNumberFormat="1" applyFont="1" applyFill="1" applyBorder="1" applyAlignment="1" applyProtection="1">
      <alignment horizontal="right"/>
      <protection/>
    </xf>
    <xf numFmtId="10" fontId="13" fillId="0" borderId="57" xfId="0" applyNumberFormat="1" applyFont="1" applyFill="1" applyBorder="1" applyAlignment="1" applyProtection="1">
      <alignment/>
      <protection/>
    </xf>
    <xf numFmtId="0" fontId="13" fillId="0" borderId="61" xfId="0" applyFont="1" applyFill="1" applyBorder="1" applyAlignment="1">
      <alignment horizontal="right"/>
    </xf>
    <xf numFmtId="5" fontId="11" fillId="0" borderId="59" xfId="0" applyNumberFormat="1" applyFont="1" applyFill="1" applyBorder="1" applyAlignment="1" applyProtection="1">
      <alignment horizontal="right"/>
      <protection/>
    </xf>
    <xf numFmtId="10" fontId="11" fillId="0" borderId="59" xfId="0" applyNumberFormat="1" applyFont="1" applyFill="1" applyBorder="1" applyAlignment="1" applyProtection="1">
      <alignment horizontal="right"/>
      <protection/>
    </xf>
    <xf numFmtId="173" fontId="11" fillId="0" borderId="59" xfId="0" applyNumberFormat="1" applyFont="1" applyFill="1" applyBorder="1" applyAlignment="1" applyProtection="1">
      <alignment horizontal="right"/>
      <protection/>
    </xf>
    <xf numFmtId="173" fontId="11" fillId="0" borderId="60" xfId="0" applyNumberFormat="1" applyFont="1" applyFill="1" applyBorder="1" applyAlignment="1" applyProtection="1">
      <alignment horizontal="right"/>
      <protection/>
    </xf>
    <xf numFmtId="5" fontId="11" fillId="0" borderId="57" xfId="0" applyNumberFormat="1" applyFont="1" applyFill="1" applyBorder="1" applyAlignment="1" applyProtection="1">
      <alignment/>
      <protection/>
    </xf>
    <xf numFmtId="5" fontId="11" fillId="0" borderId="60" xfId="0" applyNumberFormat="1" applyFont="1" applyFill="1" applyBorder="1" applyAlignment="1" applyProtection="1">
      <alignment horizontal="right"/>
      <protection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left"/>
    </xf>
    <xf numFmtId="5" fontId="11" fillId="0" borderId="53" xfId="0" applyNumberFormat="1" applyFont="1" applyFill="1" applyBorder="1" applyAlignment="1" applyProtection="1">
      <alignment/>
      <protection/>
    </xf>
    <xf numFmtId="173" fontId="11" fillId="0" borderId="53" xfId="0" applyNumberFormat="1" applyFont="1" applyFill="1" applyBorder="1" applyAlignment="1" applyProtection="1">
      <alignment/>
      <protection/>
    </xf>
    <xf numFmtId="173" fontId="11" fillId="0" borderId="54" xfId="0" applyNumberFormat="1" applyFont="1" applyFill="1" applyBorder="1" applyAlignment="1" applyProtection="1">
      <alignment/>
      <protection/>
    </xf>
    <xf numFmtId="5" fontId="11" fillId="0" borderId="54" xfId="0" applyNumberFormat="1" applyFont="1" applyFill="1" applyBorder="1" applyAlignment="1" applyProtection="1">
      <alignment/>
      <protection/>
    </xf>
    <xf numFmtId="5" fontId="11" fillId="0" borderId="55" xfId="0" applyNumberFormat="1" applyFont="1" applyFill="1" applyBorder="1" applyAlignment="1" applyProtection="1">
      <alignment/>
      <protection/>
    </xf>
    <xf numFmtId="0" fontId="14" fillId="0" borderId="57" xfId="0" applyFont="1" applyFill="1" applyBorder="1" applyAlignment="1">
      <alignment horizontal="left"/>
    </xf>
    <xf numFmtId="0" fontId="11" fillId="0" borderId="66" xfId="0" applyFont="1" applyFill="1" applyBorder="1" applyAlignment="1">
      <alignment horizontal="center"/>
    </xf>
    <xf numFmtId="0" fontId="13" fillId="0" borderId="51" xfId="0" applyFont="1" applyFill="1" applyBorder="1" applyAlignment="1">
      <alignment/>
    </xf>
    <xf numFmtId="5" fontId="13" fillId="0" borderId="53" xfId="0" applyNumberFormat="1" applyFont="1" applyFill="1" applyBorder="1" applyAlignment="1" applyProtection="1">
      <alignment/>
      <protection/>
    </xf>
    <xf numFmtId="173" fontId="13" fillId="0" borderId="54" xfId="0" applyNumberFormat="1" applyFont="1" applyFill="1" applyBorder="1" applyAlignment="1" applyProtection="1">
      <alignment/>
      <protection/>
    </xf>
    <xf numFmtId="5" fontId="13" fillId="0" borderId="54" xfId="0" applyNumberFormat="1" applyFont="1" applyFill="1" applyBorder="1" applyAlignment="1" applyProtection="1">
      <alignment/>
      <protection/>
    </xf>
    <xf numFmtId="5" fontId="13" fillId="0" borderId="55" xfId="0" applyNumberFormat="1" applyFont="1" applyFill="1" applyBorder="1" applyAlignment="1" applyProtection="1">
      <alignment/>
      <protection/>
    </xf>
    <xf numFmtId="0" fontId="13" fillId="0" borderId="39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5" fontId="11" fillId="0" borderId="64" xfId="0" applyNumberFormat="1" applyFont="1" applyFill="1" applyBorder="1" applyAlignment="1" applyProtection="1">
      <alignment/>
      <protection/>
    </xf>
    <xf numFmtId="5" fontId="11" fillId="0" borderId="67" xfId="0" applyNumberFormat="1" applyFont="1" applyFill="1" applyBorder="1" applyAlignment="1" applyProtection="1">
      <alignment/>
      <protection/>
    </xf>
    <xf numFmtId="173" fontId="11" fillId="0" borderId="64" xfId="0" applyNumberFormat="1" applyFont="1" applyFill="1" applyBorder="1" applyAlignment="1" applyProtection="1">
      <alignment/>
      <protection/>
    </xf>
    <xf numFmtId="173" fontId="11" fillId="0" borderId="65" xfId="0" applyNumberFormat="1" applyFont="1" applyFill="1" applyBorder="1" applyAlignment="1" applyProtection="1">
      <alignment/>
      <protection/>
    </xf>
    <xf numFmtId="5" fontId="11" fillId="0" borderId="65" xfId="0" applyNumberFormat="1" applyFont="1" applyFill="1" applyBorder="1" applyAlignment="1" applyProtection="1">
      <alignment/>
      <protection/>
    </xf>
    <xf numFmtId="0" fontId="13" fillId="0" borderId="40" xfId="0" applyFont="1" applyFill="1" applyBorder="1" applyAlignment="1">
      <alignment/>
    </xf>
    <xf numFmtId="173" fontId="13" fillId="0" borderId="40" xfId="0" applyNumberFormat="1" applyFont="1" applyFill="1" applyBorder="1" applyAlignment="1" applyProtection="1">
      <alignment/>
      <protection/>
    </xf>
    <xf numFmtId="0" fontId="11" fillId="0" borderId="44" xfId="0" applyFont="1" applyFill="1" applyBorder="1" applyAlignment="1">
      <alignment horizontal="left"/>
    </xf>
    <xf numFmtId="0" fontId="11" fillId="0" borderId="45" xfId="0" applyFont="1" applyFill="1" applyBorder="1" applyAlignment="1">
      <alignment/>
    </xf>
    <xf numFmtId="0" fontId="11" fillId="0" borderId="45" xfId="0" applyFont="1" applyFill="1" applyBorder="1" applyAlignment="1">
      <alignment horizontal="left"/>
    </xf>
    <xf numFmtId="5" fontId="11" fillId="0" borderId="47" xfId="0" applyNumberFormat="1" applyFont="1" applyFill="1" applyBorder="1" applyAlignment="1" applyProtection="1">
      <alignment/>
      <protection/>
    </xf>
    <xf numFmtId="173" fontId="11" fillId="0" borderId="47" xfId="0" applyNumberFormat="1" applyFont="1" applyFill="1" applyBorder="1" applyAlignment="1" applyProtection="1">
      <alignment/>
      <protection/>
    </xf>
    <xf numFmtId="173" fontId="11" fillId="0" borderId="48" xfId="0" applyNumberFormat="1" applyFont="1" applyFill="1" applyBorder="1" applyAlignment="1" applyProtection="1">
      <alignment/>
      <protection/>
    </xf>
    <xf numFmtId="5" fontId="11" fillId="0" borderId="48" xfId="0" applyNumberFormat="1" applyFont="1" applyFill="1" applyBorder="1" applyAlignment="1" applyProtection="1">
      <alignment/>
      <protection/>
    </xf>
    <xf numFmtId="5" fontId="11" fillId="0" borderId="49" xfId="0" applyNumberFormat="1" applyFont="1" applyFill="1" applyBorder="1" applyAlignment="1" applyProtection="1">
      <alignment/>
      <protection/>
    </xf>
    <xf numFmtId="37" fontId="0" fillId="0" borderId="26" xfId="44" applyNumberFormat="1" applyFont="1" applyBorder="1" applyAlignment="1">
      <alignment/>
    </xf>
    <xf numFmtId="0" fontId="0" fillId="0" borderId="24" xfId="0" applyFont="1" applyBorder="1" applyAlignment="1">
      <alignment horizontal="right"/>
    </xf>
    <xf numFmtId="167" fontId="0" fillId="0" borderId="25" xfId="42" applyNumberFormat="1" applyFont="1" applyBorder="1" applyAlignment="1">
      <alignment horizontal="right" wrapText="1"/>
    </xf>
    <xf numFmtId="167" fontId="0" fillId="0" borderId="28" xfId="42" applyNumberFormat="1" applyFont="1" applyBorder="1" applyAlignment="1">
      <alignment horizontal="right" wrapText="1"/>
    </xf>
    <xf numFmtId="167" fontId="0" fillId="0" borderId="25" xfId="42" applyNumberFormat="1" applyFont="1" applyBorder="1" applyAlignment="1">
      <alignment/>
    </xf>
    <xf numFmtId="167" fontId="0" fillId="0" borderId="26" xfId="42" applyNumberFormat="1" applyFont="1" applyBorder="1" applyAlignment="1">
      <alignment/>
    </xf>
    <xf numFmtId="5" fontId="0" fillId="0" borderId="25" xfId="44" applyNumberFormat="1" applyFont="1" applyBorder="1" applyAlignment="1">
      <alignment/>
    </xf>
    <xf numFmtId="167" fontId="0" fillId="0" borderId="25" xfId="57" applyNumberFormat="1" applyFont="1" applyBorder="1" applyAlignment="1">
      <alignment/>
    </xf>
    <xf numFmtId="167" fontId="0" fillId="0" borderId="28" xfId="57" applyNumberFormat="1" applyFont="1" applyBorder="1" applyAlignment="1">
      <alignment/>
    </xf>
    <xf numFmtId="7" fontId="3" fillId="0" borderId="0" xfId="44" applyNumberFormat="1" applyFont="1" applyAlignment="1">
      <alignment horizontal="center"/>
    </xf>
    <xf numFmtId="7" fontId="3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Continuous"/>
      <protection locked="0"/>
    </xf>
    <xf numFmtId="0" fontId="4" fillId="0" borderId="15" xfId="0" applyFont="1" applyBorder="1" applyAlignment="1" applyProtection="1">
      <alignment horizontal="center"/>
      <protection locked="0"/>
    </xf>
    <xf numFmtId="5" fontId="4" fillId="0" borderId="15" xfId="0" applyNumberFormat="1" applyFont="1" applyBorder="1" applyAlignment="1" applyProtection="1">
      <alignment horizontal="center"/>
      <protection locked="0"/>
    </xf>
    <xf numFmtId="5" fontId="4" fillId="0" borderId="15" xfId="0" applyNumberFormat="1" applyFont="1" applyFill="1" applyBorder="1" applyAlignment="1" applyProtection="1">
      <alignment horizontal="center"/>
      <protection locked="0"/>
    </xf>
    <xf numFmtId="5" fontId="4" fillId="0" borderId="15" xfId="0" applyNumberFormat="1" applyFont="1" applyBorder="1" applyAlignment="1" applyProtection="1" quotePrefix="1">
      <alignment horizontal="center"/>
      <protection locked="0"/>
    </xf>
    <xf numFmtId="166" fontId="4" fillId="0" borderId="15" xfId="42" applyNumberFormat="1" applyFont="1" applyBorder="1" applyAlignment="1" applyProtection="1" quotePrefix="1">
      <alignment horizontal="center"/>
      <protection locked="0"/>
    </xf>
    <xf numFmtId="5" fontId="4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" fontId="0" fillId="0" borderId="0" xfId="0" applyNumberFormat="1" applyFont="1" applyAlignment="1" applyProtection="1" quotePrefix="1">
      <alignment horizontal="center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89" fontId="3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23" fillId="0" borderId="0" xfId="0" applyFont="1" applyAlignment="1">
      <alignment horizontal="left"/>
    </xf>
    <xf numFmtId="196" fontId="3" fillId="0" borderId="0" xfId="44" applyNumberFormat="1" applyFont="1" applyAlignment="1">
      <alignment horizontal="center"/>
    </xf>
    <xf numFmtId="196" fontId="0" fillId="0" borderId="10" xfId="44" applyNumberFormat="1" applyFont="1" applyBorder="1" applyAlignment="1">
      <alignment horizontal="center" wrapText="1"/>
    </xf>
    <xf numFmtId="196" fontId="0" fillId="0" borderId="24" xfId="44" applyNumberFormat="1" applyFont="1" applyBorder="1" applyAlignment="1">
      <alignment/>
    </xf>
    <xf numFmtId="196" fontId="0" fillId="0" borderId="25" xfId="44" applyNumberFormat="1" applyFont="1" applyBorder="1" applyAlignment="1">
      <alignment/>
    </xf>
    <xf numFmtId="196" fontId="0" fillId="0" borderId="28" xfId="44" applyNumberFormat="1" applyFont="1" applyBorder="1" applyAlignment="1">
      <alignment/>
    </xf>
    <xf numFmtId="196" fontId="0" fillId="0" borderId="26" xfId="44" applyNumberFormat="1" applyFont="1" applyBorder="1" applyAlignment="1">
      <alignment/>
    </xf>
    <xf numFmtId="196" fontId="0" fillId="0" borderId="0" xfId="44" applyNumberFormat="1" applyFont="1" applyAlignment="1">
      <alignment/>
    </xf>
    <xf numFmtId="6" fontId="3" fillId="0" borderId="0" xfId="44" applyNumberFormat="1" applyFont="1" applyAlignment="1">
      <alignment horizontal="center"/>
    </xf>
    <xf numFmtId="6" fontId="0" fillId="0" borderId="10" xfId="44" applyNumberFormat="1" applyFont="1" applyBorder="1" applyAlignment="1">
      <alignment horizontal="center" wrapText="1"/>
    </xf>
    <xf numFmtId="6" fontId="0" fillId="0" borderId="24" xfId="44" applyNumberFormat="1" applyFont="1" applyBorder="1" applyAlignment="1">
      <alignment/>
    </xf>
    <xf numFmtId="6" fontId="0" fillId="0" borderId="25" xfId="44" applyNumberFormat="1" applyFont="1" applyBorder="1" applyAlignment="1">
      <alignment/>
    </xf>
    <xf numFmtId="6" fontId="0" fillId="0" borderId="28" xfId="44" applyNumberFormat="1" applyFont="1" applyBorder="1" applyAlignment="1">
      <alignment/>
    </xf>
    <xf numFmtId="6" fontId="0" fillId="0" borderId="0" xfId="44" applyNumberFormat="1" applyFont="1" applyAlignment="1">
      <alignment/>
    </xf>
    <xf numFmtId="196" fontId="0" fillId="0" borderId="10" xfId="44" applyNumberFormat="1" applyFont="1" applyBorder="1" applyAlignment="1" quotePrefix="1">
      <alignment horizontal="center"/>
    </xf>
    <xf numFmtId="6" fontId="0" fillId="0" borderId="10" xfId="44" applyNumberFormat="1" applyFont="1" applyBorder="1" applyAlignment="1" quotePrefix="1">
      <alignment horizontal="center"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6" fontId="0" fillId="0" borderId="10" xfId="42" applyNumberFormat="1" applyFont="1" applyBorder="1" applyAlignment="1" quotePrefix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68" xfId="0" applyBorder="1" applyAlignment="1">
      <alignment horizontal="justify"/>
    </xf>
    <xf numFmtId="0" fontId="3" fillId="0" borderId="0" xfId="0" applyFont="1" applyAlignment="1">
      <alignment wrapText="1"/>
    </xf>
    <xf numFmtId="0" fontId="0" fillId="0" borderId="69" xfId="0" applyBorder="1" applyAlignment="1">
      <alignment/>
    </xf>
    <xf numFmtId="0" fontId="11" fillId="0" borderId="36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15" fillId="0" borderId="4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5" fontId="4" fillId="0" borderId="23" xfId="0" applyNumberFormat="1" applyFont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70" xfId="0" applyFont="1" applyBorder="1" applyAlignment="1">
      <alignment wrapText="1"/>
    </xf>
    <xf numFmtId="0" fontId="4" fillId="0" borderId="71" xfId="0" applyFont="1" applyBorder="1" applyAlignment="1" applyProtection="1">
      <alignment horizontal="center" wrapText="1"/>
      <protection locked="0"/>
    </xf>
    <xf numFmtId="0" fontId="4" fillId="0" borderId="72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/>
    </xf>
    <xf numFmtId="0" fontId="4" fillId="35" borderId="73" xfId="0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5" fontId="4" fillId="0" borderId="2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>
      <alignment horizontal="center" wrapText="1"/>
    </xf>
    <xf numFmtId="0" fontId="23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7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3" fillId="0" borderId="74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18" fillId="0" borderId="0" xfId="0" applyFont="1" applyAlignment="1" applyProtection="1">
      <alignment horizontal="center" wrapText="1"/>
      <protection locked="0"/>
    </xf>
    <xf numFmtId="0" fontId="4" fillId="0" borderId="30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68" xfId="0" applyBorder="1" applyAlignment="1">
      <alignment horizontal="justify" wrapText="1"/>
    </xf>
    <xf numFmtId="0" fontId="0" fillId="0" borderId="68" xfId="0" applyBorder="1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5.28125" style="0" customWidth="1"/>
    <col min="2" max="2" width="3.28125" style="0" customWidth="1"/>
    <col min="3" max="3" width="39.7109375" style="0" customWidth="1"/>
    <col min="4" max="4" width="17.7109375" style="0" hidden="1" customWidth="1"/>
    <col min="5" max="5" width="19.00390625" style="0" hidden="1" customWidth="1"/>
    <col min="6" max="6" width="16.8515625" style="0" hidden="1" customWidth="1"/>
    <col min="7" max="7" width="18.421875" style="0" hidden="1" customWidth="1"/>
    <col min="8" max="8" width="14.28125" style="0" hidden="1" customWidth="1"/>
    <col min="9" max="9" width="20.28125" style="0" customWidth="1"/>
    <col min="10" max="10" width="14.57421875" style="0" hidden="1" customWidth="1"/>
    <col min="11" max="11" width="0" style="0" hidden="1" customWidth="1"/>
    <col min="12" max="12" width="15.7109375" style="0" hidden="1" customWidth="1"/>
    <col min="13" max="13" width="8.00390625" style="0" hidden="1" customWidth="1"/>
    <col min="14" max="14" width="18.8515625" style="0" hidden="1" customWidth="1"/>
    <col min="15" max="15" width="20.140625" style="0" customWidth="1"/>
    <col min="16" max="16" width="19.140625" style="0" customWidth="1"/>
    <col min="17" max="17" width="8.28125" style="0" customWidth="1"/>
    <col min="18" max="18" width="1.1484375" style="0" customWidth="1"/>
  </cols>
  <sheetData>
    <row r="1" spans="1:17" ht="25.5">
      <c r="A1" s="367" t="s">
        <v>415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7" s="334" customFormat="1" ht="15" customHeight="1" thickBo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18" ht="16.5" thickTop="1">
      <c r="A3" s="180"/>
      <c r="B3" s="181"/>
      <c r="C3" s="182"/>
      <c r="D3" s="183" t="s">
        <v>555</v>
      </c>
      <c r="E3" s="183" t="s">
        <v>556</v>
      </c>
      <c r="F3" s="183" t="s">
        <v>557</v>
      </c>
      <c r="G3" s="183" t="s">
        <v>558</v>
      </c>
      <c r="H3" s="183" t="s">
        <v>559</v>
      </c>
      <c r="I3" s="183" t="s">
        <v>560</v>
      </c>
      <c r="J3" s="183" t="s">
        <v>561</v>
      </c>
      <c r="K3" s="184"/>
      <c r="L3" s="185" t="s">
        <v>561</v>
      </c>
      <c r="M3" s="185"/>
      <c r="N3" s="185" t="s">
        <v>561</v>
      </c>
      <c r="O3" s="185" t="s">
        <v>638</v>
      </c>
      <c r="P3" s="363" t="s">
        <v>562</v>
      </c>
      <c r="Q3" s="185"/>
      <c r="R3" s="186"/>
    </row>
    <row r="4" spans="1:18" ht="15.75">
      <c r="A4" s="187"/>
      <c r="B4" s="188"/>
      <c r="C4" s="189" t="s">
        <v>563</v>
      </c>
      <c r="D4" s="190" t="s">
        <v>564</v>
      </c>
      <c r="E4" s="190" t="s">
        <v>565</v>
      </c>
      <c r="F4" s="190" t="s">
        <v>566</v>
      </c>
      <c r="G4" s="190" t="s">
        <v>380</v>
      </c>
      <c r="H4" s="190" t="s">
        <v>380</v>
      </c>
      <c r="I4" s="190" t="s">
        <v>567</v>
      </c>
      <c r="J4" s="190" t="s">
        <v>568</v>
      </c>
      <c r="K4" s="191"/>
      <c r="L4" s="192" t="s">
        <v>569</v>
      </c>
      <c r="M4" s="192"/>
      <c r="N4" s="192" t="s">
        <v>570</v>
      </c>
      <c r="O4" s="192" t="s">
        <v>571</v>
      </c>
      <c r="P4" s="364"/>
      <c r="Q4" s="192" t="s">
        <v>572</v>
      </c>
      <c r="R4" s="193"/>
    </row>
    <row r="5" spans="1:18" ht="15.75">
      <c r="A5" s="187"/>
      <c r="B5" s="188"/>
      <c r="C5" s="194"/>
      <c r="D5" s="190" t="s">
        <v>381</v>
      </c>
      <c r="E5" s="190" t="s">
        <v>381</v>
      </c>
      <c r="F5" s="190"/>
      <c r="G5" s="190" t="s">
        <v>381</v>
      </c>
      <c r="H5" s="190" t="s">
        <v>381</v>
      </c>
      <c r="I5" s="190" t="s">
        <v>381</v>
      </c>
      <c r="J5" s="190" t="s">
        <v>573</v>
      </c>
      <c r="K5" s="191" t="s">
        <v>572</v>
      </c>
      <c r="L5" s="192" t="s">
        <v>574</v>
      </c>
      <c r="M5" s="192" t="s">
        <v>572</v>
      </c>
      <c r="N5" s="192" t="s">
        <v>575</v>
      </c>
      <c r="O5" s="192" t="s">
        <v>381</v>
      </c>
      <c r="P5" s="364"/>
      <c r="Q5" s="192" t="s">
        <v>479</v>
      </c>
      <c r="R5" s="193"/>
    </row>
    <row r="6" spans="1:18" ht="16.5" thickBot="1">
      <c r="A6" s="195"/>
      <c r="B6" s="196"/>
      <c r="C6" s="197"/>
      <c r="D6" s="198" t="s">
        <v>382</v>
      </c>
      <c r="E6" s="198" t="s">
        <v>382</v>
      </c>
      <c r="F6" s="198"/>
      <c r="G6" s="198" t="s">
        <v>382</v>
      </c>
      <c r="H6" s="198" t="s">
        <v>382</v>
      </c>
      <c r="I6" s="198" t="s">
        <v>382</v>
      </c>
      <c r="J6" s="198"/>
      <c r="K6" s="199"/>
      <c r="L6" s="198"/>
      <c r="M6" s="200"/>
      <c r="N6" s="201"/>
      <c r="O6" s="200" t="s">
        <v>382</v>
      </c>
      <c r="P6" s="365"/>
      <c r="Q6" s="201"/>
      <c r="R6" s="202"/>
    </row>
    <row r="7" spans="1:18" ht="16.5" thickTop="1">
      <c r="A7" s="203"/>
      <c r="B7" s="204"/>
      <c r="C7" s="205"/>
      <c r="D7" s="206"/>
      <c r="E7" s="206"/>
      <c r="F7" s="206"/>
      <c r="G7" s="206"/>
      <c r="H7" s="206"/>
      <c r="I7" s="206"/>
      <c r="J7" s="206"/>
      <c r="K7" s="207"/>
      <c r="L7" s="206"/>
      <c r="M7" s="208"/>
      <c r="N7" s="208"/>
      <c r="O7" s="208"/>
      <c r="P7" s="208"/>
      <c r="Q7" s="208"/>
      <c r="R7" s="209"/>
    </row>
    <row r="8" spans="1:18" ht="15.75">
      <c r="A8" s="210" t="s">
        <v>416</v>
      </c>
      <c r="B8" s="211" t="s">
        <v>383</v>
      </c>
      <c r="C8" s="212"/>
      <c r="D8" s="213">
        <v>2602</v>
      </c>
      <c r="E8" s="213">
        <v>2929</v>
      </c>
      <c r="F8" s="213">
        <v>3020</v>
      </c>
      <c r="G8" s="213">
        <v>3020</v>
      </c>
      <c r="H8" s="213">
        <v>3020</v>
      </c>
      <c r="I8" s="213">
        <v>3020</v>
      </c>
      <c r="J8" s="213">
        <f aca="true" t="shared" si="0" ref="J8:J15">E8-D8</f>
        <v>327</v>
      </c>
      <c r="K8" s="214">
        <f aca="true" t="shared" si="1" ref="K8:K15">ROUND((E8/D8)-1,3)</f>
        <v>0.126</v>
      </c>
      <c r="L8" s="213">
        <f aca="true" t="shared" si="2" ref="L8:L15">I8-E8</f>
        <v>91</v>
      </c>
      <c r="M8" s="215">
        <f aca="true" t="shared" si="3" ref="M8:M15">ROUND((I8/E8)-1,3)</f>
        <v>0.031</v>
      </c>
      <c r="N8" s="216">
        <f aca="true" t="shared" si="4" ref="N8:N15">I8-F8</f>
        <v>0</v>
      </c>
      <c r="O8" s="213">
        <v>3020</v>
      </c>
      <c r="P8" s="213">
        <f aca="true" t="shared" si="5" ref="P8:P15">O8-I8</f>
        <v>0</v>
      </c>
      <c r="Q8" s="217">
        <f aca="true" t="shared" si="6" ref="Q8:Q15">ROUND((O8/I8)-1,3)</f>
        <v>0</v>
      </c>
      <c r="R8" s="218"/>
    </row>
    <row r="9" spans="1:18" ht="15.75">
      <c r="A9" s="219" t="s">
        <v>417</v>
      </c>
      <c r="B9" s="220" t="s">
        <v>576</v>
      </c>
      <c r="C9" s="221"/>
      <c r="D9" s="222">
        <v>1110031</v>
      </c>
      <c r="E9" s="222">
        <f>SUM(E10:E15)</f>
        <v>1018555</v>
      </c>
      <c r="F9" s="222">
        <f>SUM(F10:F15)</f>
        <v>1014857</v>
      </c>
      <c r="G9" s="222">
        <v>1014579</v>
      </c>
      <c r="H9" s="222">
        <v>1015041</v>
      </c>
      <c r="I9" s="222">
        <f>SUM(I10:I15)</f>
        <v>1005082</v>
      </c>
      <c r="J9" s="222">
        <f t="shared" si="0"/>
        <v>-91476</v>
      </c>
      <c r="K9" s="214">
        <f t="shared" si="1"/>
        <v>-0.082</v>
      </c>
      <c r="L9" s="222">
        <f t="shared" si="2"/>
        <v>-13473</v>
      </c>
      <c r="M9" s="215">
        <f t="shared" si="3"/>
        <v>-0.013</v>
      </c>
      <c r="N9" s="223">
        <f t="shared" si="4"/>
        <v>-9775</v>
      </c>
      <c r="O9" s="222">
        <f>SUM(O10:O15)</f>
        <v>993123</v>
      </c>
      <c r="P9" s="222">
        <f t="shared" si="5"/>
        <v>-11959</v>
      </c>
      <c r="Q9" s="217">
        <f t="shared" si="6"/>
        <v>-0.012</v>
      </c>
      <c r="R9" s="224"/>
    </row>
    <row r="10" spans="1:18" ht="18.75" customHeight="1">
      <c r="A10" s="219"/>
      <c r="B10" s="225" t="s">
        <v>384</v>
      </c>
      <c r="C10" s="221" t="s">
        <v>385</v>
      </c>
      <c r="D10" s="226">
        <v>777570</v>
      </c>
      <c r="E10" s="226">
        <v>765383</v>
      </c>
      <c r="F10" s="226">
        <v>761616</v>
      </c>
      <c r="G10" s="226">
        <v>761347</v>
      </c>
      <c r="H10" s="226">
        <v>758638</v>
      </c>
      <c r="I10" s="226">
        <v>753722</v>
      </c>
      <c r="J10" s="226">
        <f t="shared" si="0"/>
        <v>-12187</v>
      </c>
      <c r="K10" s="227">
        <f t="shared" si="1"/>
        <v>-0.016</v>
      </c>
      <c r="L10" s="228">
        <f t="shared" si="2"/>
        <v>-11661</v>
      </c>
      <c r="M10" s="229">
        <f t="shared" si="3"/>
        <v>-0.015</v>
      </c>
      <c r="N10" s="230">
        <f t="shared" si="4"/>
        <v>-7894</v>
      </c>
      <c r="O10" s="226">
        <v>740006</v>
      </c>
      <c r="P10" s="226">
        <f t="shared" si="5"/>
        <v>-13716</v>
      </c>
      <c r="Q10" s="217">
        <f t="shared" si="6"/>
        <v>-0.018</v>
      </c>
      <c r="R10" s="231"/>
    </row>
    <row r="11" spans="1:18" ht="18.75" customHeight="1">
      <c r="A11" s="219"/>
      <c r="B11" s="225" t="s">
        <v>386</v>
      </c>
      <c r="C11" s="221" t="s">
        <v>387</v>
      </c>
      <c r="D11" s="226">
        <f>66519+8312</f>
        <v>74831</v>
      </c>
      <c r="E11" s="226">
        <v>75931</v>
      </c>
      <c r="F11" s="226">
        <v>75931</v>
      </c>
      <c r="G11" s="226"/>
      <c r="H11" s="226"/>
      <c r="I11" s="226">
        <v>73730</v>
      </c>
      <c r="J11" s="226">
        <f t="shared" si="0"/>
        <v>1100</v>
      </c>
      <c r="K11" s="227">
        <f t="shared" si="1"/>
        <v>0.015</v>
      </c>
      <c r="L11" s="228">
        <f t="shared" si="2"/>
        <v>-2201</v>
      </c>
      <c r="M11" s="229">
        <f t="shared" si="3"/>
        <v>-0.029</v>
      </c>
      <c r="N11" s="230">
        <f t="shared" si="4"/>
        <v>-2201</v>
      </c>
      <c r="O11" s="226">
        <v>73418</v>
      </c>
      <c r="P11" s="226">
        <f t="shared" si="5"/>
        <v>-312</v>
      </c>
      <c r="Q11" s="217">
        <f t="shared" si="6"/>
        <v>-0.004</v>
      </c>
      <c r="R11" s="231"/>
    </row>
    <row r="12" spans="1:18" ht="18.75" customHeight="1">
      <c r="A12" s="219"/>
      <c r="B12" s="225" t="s">
        <v>388</v>
      </c>
      <c r="C12" s="221" t="s">
        <v>389</v>
      </c>
      <c r="D12" s="226">
        <v>9415</v>
      </c>
      <c r="E12" s="226">
        <v>9467</v>
      </c>
      <c r="F12" s="226">
        <v>9467</v>
      </c>
      <c r="G12" s="226"/>
      <c r="H12" s="226"/>
      <c r="I12" s="226">
        <v>9424</v>
      </c>
      <c r="J12" s="226">
        <f t="shared" si="0"/>
        <v>52</v>
      </c>
      <c r="K12" s="227">
        <f t="shared" si="1"/>
        <v>0.006</v>
      </c>
      <c r="L12" s="228">
        <f t="shared" si="2"/>
        <v>-43</v>
      </c>
      <c r="M12" s="229">
        <f t="shared" si="3"/>
        <v>-0.005</v>
      </c>
      <c r="N12" s="230">
        <f t="shared" si="4"/>
        <v>-43</v>
      </c>
      <c r="O12" s="226">
        <v>9324</v>
      </c>
      <c r="P12" s="226">
        <f t="shared" si="5"/>
        <v>-100</v>
      </c>
      <c r="Q12" s="217">
        <f t="shared" si="6"/>
        <v>-0.011</v>
      </c>
      <c r="R12" s="231"/>
    </row>
    <row r="13" spans="1:18" ht="18.75" customHeight="1">
      <c r="A13" s="219"/>
      <c r="B13" s="225" t="s">
        <v>390</v>
      </c>
      <c r="C13" s="221" t="s">
        <v>391</v>
      </c>
      <c r="D13" s="226">
        <v>153903</v>
      </c>
      <c r="E13" s="226">
        <v>141014</v>
      </c>
      <c r="F13" s="226">
        <v>141014</v>
      </c>
      <c r="G13" s="226"/>
      <c r="H13" s="226"/>
      <c r="I13" s="226">
        <v>140980</v>
      </c>
      <c r="J13" s="226">
        <f t="shared" si="0"/>
        <v>-12889</v>
      </c>
      <c r="K13" s="227">
        <f t="shared" si="1"/>
        <v>-0.084</v>
      </c>
      <c r="L13" s="228">
        <f t="shared" si="2"/>
        <v>-34</v>
      </c>
      <c r="M13" s="229">
        <f t="shared" si="3"/>
        <v>0</v>
      </c>
      <c r="N13" s="230">
        <f t="shared" si="4"/>
        <v>-34</v>
      </c>
      <c r="O13" s="226">
        <v>142833</v>
      </c>
      <c r="P13" s="226">
        <f t="shared" si="5"/>
        <v>1853</v>
      </c>
      <c r="Q13" s="217">
        <f t="shared" si="6"/>
        <v>0.013</v>
      </c>
      <c r="R13" s="231"/>
    </row>
    <row r="14" spans="1:18" ht="18.75" customHeight="1">
      <c r="A14" s="219"/>
      <c r="B14" s="225" t="s">
        <v>392</v>
      </c>
      <c r="C14" s="221" t="s">
        <v>393</v>
      </c>
      <c r="D14" s="226">
        <v>17104</v>
      </c>
      <c r="E14" s="226">
        <v>14755</v>
      </c>
      <c r="F14" s="226">
        <v>14755</v>
      </c>
      <c r="G14" s="226"/>
      <c r="H14" s="226"/>
      <c r="I14" s="226">
        <v>15101</v>
      </c>
      <c r="J14" s="226">
        <f t="shared" si="0"/>
        <v>-2349</v>
      </c>
      <c r="K14" s="227">
        <f t="shared" si="1"/>
        <v>-0.137</v>
      </c>
      <c r="L14" s="228">
        <f t="shared" si="2"/>
        <v>346</v>
      </c>
      <c r="M14" s="229">
        <f t="shared" si="3"/>
        <v>0.023</v>
      </c>
      <c r="N14" s="230">
        <f t="shared" si="4"/>
        <v>346</v>
      </c>
      <c r="O14" s="226">
        <v>15341</v>
      </c>
      <c r="P14" s="226">
        <f t="shared" si="5"/>
        <v>240</v>
      </c>
      <c r="Q14" s="217">
        <f t="shared" si="6"/>
        <v>0.016</v>
      </c>
      <c r="R14" s="231"/>
    </row>
    <row r="15" spans="1:18" ht="18.75" customHeight="1">
      <c r="A15" s="219"/>
      <c r="B15" s="232" t="s">
        <v>394</v>
      </c>
      <c r="C15" s="205" t="s">
        <v>577</v>
      </c>
      <c r="D15" s="233">
        <v>3397</v>
      </c>
      <c r="E15" s="233">
        <v>12005</v>
      </c>
      <c r="F15" s="233">
        <v>12074</v>
      </c>
      <c r="G15" s="233"/>
      <c r="H15" s="233"/>
      <c r="I15" s="233">
        <v>12125</v>
      </c>
      <c r="J15" s="233">
        <f t="shared" si="0"/>
        <v>8608</v>
      </c>
      <c r="K15" s="234">
        <f t="shared" si="1"/>
        <v>2.534</v>
      </c>
      <c r="L15" s="235">
        <f t="shared" si="2"/>
        <v>120</v>
      </c>
      <c r="M15" s="236">
        <f t="shared" si="3"/>
        <v>0.01</v>
      </c>
      <c r="N15" s="237">
        <f t="shared" si="4"/>
        <v>51</v>
      </c>
      <c r="O15" s="233">
        <v>12201</v>
      </c>
      <c r="P15" s="233">
        <f t="shared" si="5"/>
        <v>76</v>
      </c>
      <c r="Q15" s="238">
        <f t="shared" si="6"/>
        <v>0.006</v>
      </c>
      <c r="R15" s="239"/>
    </row>
    <row r="16" spans="1:18" ht="15.75">
      <c r="A16" s="210"/>
      <c r="B16" s="240"/>
      <c r="C16" s="241" t="s">
        <v>395</v>
      </c>
      <c r="D16" s="242"/>
      <c r="E16" s="242"/>
      <c r="F16" s="242"/>
      <c r="G16" s="242"/>
      <c r="H16" s="242"/>
      <c r="I16" s="242"/>
      <c r="J16" s="242"/>
      <c r="K16" s="243"/>
      <c r="L16" s="242"/>
      <c r="M16" s="244"/>
      <c r="N16" s="245"/>
      <c r="O16" s="242"/>
      <c r="P16" s="242"/>
      <c r="Q16" s="217"/>
      <c r="R16" s="231"/>
    </row>
    <row r="17" spans="1:18" ht="15.75">
      <c r="A17" s="219" t="s">
        <v>418</v>
      </c>
      <c r="B17" s="211" t="s">
        <v>396</v>
      </c>
      <c r="C17" s="246"/>
      <c r="D17" s="213">
        <v>2888300662</v>
      </c>
      <c r="E17" s="213">
        <v>2983347595</v>
      </c>
      <c r="F17" s="213">
        <v>3064868140</v>
      </c>
      <c r="G17" s="213">
        <v>3064028580</v>
      </c>
      <c r="H17" s="213">
        <v>3065423820</v>
      </c>
      <c r="I17" s="213">
        <v>3035347640</v>
      </c>
      <c r="J17" s="213">
        <f aca="true" t="shared" si="7" ref="J17:J30">E17-D17</f>
        <v>95046933</v>
      </c>
      <c r="K17" s="214">
        <f aca="true" t="shared" si="8" ref="K17:K30">ROUND((E17/D17)-1,3)</f>
        <v>0.033</v>
      </c>
      <c r="L17" s="213">
        <f aca="true" t="shared" si="9" ref="L17:L30">I17-E17</f>
        <v>52000045</v>
      </c>
      <c r="M17" s="215">
        <f aca="true" t="shared" si="10" ref="M17:M30">ROUND((I17/E17)-1,3)</f>
        <v>0.017</v>
      </c>
      <c r="N17" s="216">
        <f>I17-F17</f>
        <v>-29520500</v>
      </c>
      <c r="O17" s="213">
        <v>2999231162</v>
      </c>
      <c r="P17" s="213">
        <f aca="true" t="shared" si="11" ref="P17:P30">O17-I17</f>
        <v>-36116478</v>
      </c>
      <c r="Q17" s="217">
        <f aca="true" t="shared" si="12" ref="Q17:Q30">ROUND((O17/I17)-1,3)</f>
        <v>-0.012</v>
      </c>
      <c r="R17" s="224"/>
    </row>
    <row r="18" spans="1:18" ht="18.75" customHeight="1">
      <c r="A18" s="219"/>
      <c r="B18" s="247" t="s">
        <v>384</v>
      </c>
      <c r="C18" s="211" t="s">
        <v>397</v>
      </c>
      <c r="D18" s="248">
        <v>1877396685</v>
      </c>
      <c r="E18" s="248">
        <v>1939172786</v>
      </c>
      <c r="F18" s="248">
        <v>1992166404</v>
      </c>
      <c r="G18" s="248">
        <v>1991617723</v>
      </c>
      <c r="H18" s="248">
        <v>1993806997</v>
      </c>
      <c r="I18" s="248">
        <v>1973679261</v>
      </c>
      <c r="J18" s="248">
        <f t="shared" si="7"/>
        <v>61776101</v>
      </c>
      <c r="K18" s="249">
        <f t="shared" si="8"/>
        <v>0.033</v>
      </c>
      <c r="L18" s="248">
        <f t="shared" si="9"/>
        <v>34506475</v>
      </c>
      <c r="M18" s="229">
        <f t="shared" si="10"/>
        <v>0.018</v>
      </c>
      <c r="N18" s="250">
        <f>I18-F18</f>
        <v>-18487143</v>
      </c>
      <c r="O18" s="248">
        <v>1949569272</v>
      </c>
      <c r="P18" s="248">
        <f t="shared" si="11"/>
        <v>-24109989</v>
      </c>
      <c r="Q18" s="217">
        <f t="shared" si="12"/>
        <v>-0.012</v>
      </c>
      <c r="R18" s="231"/>
    </row>
    <row r="19" spans="1:18" ht="18.75" customHeight="1">
      <c r="A19" s="210"/>
      <c r="B19" s="247" t="s">
        <v>386</v>
      </c>
      <c r="C19" s="211" t="s">
        <v>398</v>
      </c>
      <c r="D19" s="213">
        <v>1010903977</v>
      </c>
      <c r="E19" s="213">
        <v>1044174809</v>
      </c>
      <c r="F19" s="213">
        <v>1072701736</v>
      </c>
      <c r="G19" s="213">
        <v>1072410857</v>
      </c>
      <c r="H19" s="213">
        <v>1071616823</v>
      </c>
      <c r="I19" s="213">
        <v>1061668379</v>
      </c>
      <c r="J19" s="213">
        <f t="shared" si="7"/>
        <v>33270832</v>
      </c>
      <c r="K19" s="214">
        <f t="shared" si="8"/>
        <v>0.033</v>
      </c>
      <c r="L19" s="213">
        <f t="shared" si="9"/>
        <v>17493570</v>
      </c>
      <c r="M19" s="215">
        <f t="shared" si="10"/>
        <v>0.017</v>
      </c>
      <c r="N19" s="216">
        <f>I19-F19</f>
        <v>-11033357</v>
      </c>
      <c r="O19" s="213">
        <v>1049661890</v>
      </c>
      <c r="P19" s="213">
        <f t="shared" si="11"/>
        <v>-12006489</v>
      </c>
      <c r="Q19" s="217">
        <f t="shared" si="12"/>
        <v>-0.011</v>
      </c>
      <c r="R19" s="224"/>
    </row>
    <row r="20" spans="1:18" ht="18.75" customHeight="1">
      <c r="A20" s="210" t="s">
        <v>419</v>
      </c>
      <c r="B20" s="211" t="s">
        <v>578</v>
      </c>
      <c r="C20" s="211"/>
      <c r="D20" s="213">
        <v>1293050796</v>
      </c>
      <c r="E20" s="213">
        <v>1396291649</v>
      </c>
      <c r="F20" s="251"/>
      <c r="G20" s="213"/>
      <c r="H20" s="213"/>
      <c r="I20" s="213">
        <v>1522075907</v>
      </c>
      <c r="J20" s="213">
        <f t="shared" si="7"/>
        <v>103240853</v>
      </c>
      <c r="K20" s="214">
        <f t="shared" si="8"/>
        <v>0.08</v>
      </c>
      <c r="L20" s="213">
        <f t="shared" si="9"/>
        <v>125784258</v>
      </c>
      <c r="M20" s="215">
        <f t="shared" si="10"/>
        <v>0.09</v>
      </c>
      <c r="N20" s="251"/>
      <c r="O20" s="213">
        <v>1568217830</v>
      </c>
      <c r="P20" s="213">
        <f t="shared" si="11"/>
        <v>46141923</v>
      </c>
      <c r="Q20" s="217">
        <f t="shared" si="12"/>
        <v>0.03</v>
      </c>
      <c r="R20" s="224"/>
    </row>
    <row r="21" spans="1:18" ht="18.75" customHeight="1">
      <c r="A21" s="210"/>
      <c r="B21" s="247" t="s">
        <v>384</v>
      </c>
      <c r="C21" s="211" t="s">
        <v>579</v>
      </c>
      <c r="D21" s="213">
        <v>12567779462</v>
      </c>
      <c r="E21" s="213">
        <v>13743189478</v>
      </c>
      <c r="F21" s="213"/>
      <c r="G21" s="213"/>
      <c r="H21" s="213"/>
      <c r="I21" s="213">
        <v>14711025871</v>
      </c>
      <c r="J21" s="213">
        <f t="shared" si="7"/>
        <v>1175410016</v>
      </c>
      <c r="K21" s="214">
        <f t="shared" si="8"/>
        <v>0.094</v>
      </c>
      <c r="L21" s="213">
        <f t="shared" si="9"/>
        <v>967836393</v>
      </c>
      <c r="M21" s="215">
        <f t="shared" si="10"/>
        <v>0.07</v>
      </c>
      <c r="N21" s="216"/>
      <c r="O21" s="213">
        <v>15226451693</v>
      </c>
      <c r="P21" s="213">
        <f t="shared" si="11"/>
        <v>515425822</v>
      </c>
      <c r="Q21" s="217">
        <f t="shared" si="12"/>
        <v>0.035</v>
      </c>
      <c r="R21" s="224"/>
    </row>
    <row r="22" spans="1:18" ht="18.75" customHeight="1">
      <c r="A22" s="210"/>
      <c r="B22" s="247" t="s">
        <v>386</v>
      </c>
      <c r="C22" s="211" t="s">
        <v>580</v>
      </c>
      <c r="D22" s="213">
        <v>47846595002</v>
      </c>
      <c r="E22" s="213">
        <v>49212367089</v>
      </c>
      <c r="F22" s="213"/>
      <c r="G22" s="213"/>
      <c r="H22" s="213"/>
      <c r="I22" s="213">
        <v>52854905379</v>
      </c>
      <c r="J22" s="213">
        <f t="shared" si="7"/>
        <v>1365772087</v>
      </c>
      <c r="K22" s="214">
        <f t="shared" si="8"/>
        <v>0.029</v>
      </c>
      <c r="L22" s="213">
        <f t="shared" si="9"/>
        <v>3642538290</v>
      </c>
      <c r="M22" s="215">
        <f t="shared" si="10"/>
        <v>0.074</v>
      </c>
      <c r="N22" s="216"/>
      <c r="O22" s="213">
        <v>52743978836</v>
      </c>
      <c r="P22" s="213">
        <f t="shared" si="11"/>
        <v>-110926543</v>
      </c>
      <c r="Q22" s="217">
        <f t="shared" si="12"/>
        <v>-0.002</v>
      </c>
      <c r="R22" s="224"/>
    </row>
    <row r="23" spans="1:18" ht="15.75">
      <c r="A23" s="210"/>
      <c r="B23" s="247" t="s">
        <v>388</v>
      </c>
      <c r="C23" s="211" t="s">
        <v>581</v>
      </c>
      <c r="D23" s="252">
        <v>38.66</v>
      </c>
      <c r="E23" s="252">
        <v>39.45</v>
      </c>
      <c r="F23" s="252"/>
      <c r="G23" s="213"/>
      <c r="H23" s="213"/>
      <c r="I23" s="252">
        <v>40.96</v>
      </c>
      <c r="J23" s="252">
        <f t="shared" si="7"/>
        <v>0.7900000000000063</v>
      </c>
      <c r="K23" s="214">
        <f t="shared" si="8"/>
        <v>0.02</v>
      </c>
      <c r="L23" s="252">
        <f t="shared" si="9"/>
        <v>1.509999999999998</v>
      </c>
      <c r="M23" s="215">
        <f t="shared" si="10"/>
        <v>0.038</v>
      </c>
      <c r="N23" s="252"/>
      <c r="O23" s="252">
        <v>40.64</v>
      </c>
      <c r="P23" s="252">
        <f t="shared" si="11"/>
        <v>-0.3200000000000003</v>
      </c>
      <c r="Q23" s="217">
        <f t="shared" si="12"/>
        <v>-0.008</v>
      </c>
      <c r="R23" s="224"/>
    </row>
    <row r="24" spans="1:18" ht="15.75">
      <c r="A24" s="210"/>
      <c r="B24" s="247" t="s">
        <v>390</v>
      </c>
      <c r="C24" s="211" t="s">
        <v>582</v>
      </c>
      <c r="D24" s="251">
        <v>0.0161</v>
      </c>
      <c r="E24" s="251">
        <v>0.0165</v>
      </c>
      <c r="F24" s="251"/>
      <c r="G24" s="213"/>
      <c r="H24" s="213"/>
      <c r="I24" s="251">
        <v>0.0167</v>
      </c>
      <c r="J24" s="251">
        <f t="shared" si="7"/>
        <v>0.00040000000000000105</v>
      </c>
      <c r="K24" s="214">
        <f t="shared" si="8"/>
        <v>0.025</v>
      </c>
      <c r="L24" s="251">
        <f t="shared" si="9"/>
        <v>0.0001999999999999988</v>
      </c>
      <c r="M24" s="215">
        <f t="shared" si="10"/>
        <v>0.012</v>
      </c>
      <c r="N24" s="251"/>
      <c r="O24" s="251">
        <v>0.0173</v>
      </c>
      <c r="P24" s="251">
        <f t="shared" si="11"/>
        <v>0.0005999999999999998</v>
      </c>
      <c r="Q24" s="217">
        <f t="shared" si="12"/>
        <v>0.036</v>
      </c>
      <c r="R24" s="224"/>
    </row>
    <row r="25" spans="1:18" ht="18.75" customHeight="1">
      <c r="A25" s="210"/>
      <c r="B25" s="247" t="s">
        <v>392</v>
      </c>
      <c r="C25" s="211" t="s">
        <v>583</v>
      </c>
      <c r="D25" s="213">
        <v>485842655</v>
      </c>
      <c r="E25" s="213">
        <v>542136247</v>
      </c>
      <c r="F25" s="213"/>
      <c r="G25" s="213"/>
      <c r="H25" s="213"/>
      <c r="I25" s="213">
        <v>602587293</v>
      </c>
      <c r="J25" s="213">
        <f t="shared" si="7"/>
        <v>56293592</v>
      </c>
      <c r="K25" s="214">
        <f t="shared" si="8"/>
        <v>0.116</v>
      </c>
      <c r="L25" s="213">
        <f t="shared" si="9"/>
        <v>60451046</v>
      </c>
      <c r="M25" s="215">
        <f t="shared" si="10"/>
        <v>0.112</v>
      </c>
      <c r="N25" s="213"/>
      <c r="O25" s="213">
        <v>618800174</v>
      </c>
      <c r="P25" s="213">
        <f t="shared" si="11"/>
        <v>16212881</v>
      </c>
      <c r="Q25" s="217">
        <f t="shared" si="12"/>
        <v>0.027</v>
      </c>
      <c r="R25" s="224"/>
    </row>
    <row r="26" spans="1:18" ht="18.75" customHeight="1">
      <c r="A26" s="210"/>
      <c r="B26" s="247" t="s">
        <v>394</v>
      </c>
      <c r="C26" s="211" t="s">
        <v>584</v>
      </c>
      <c r="D26" s="213">
        <v>768234160</v>
      </c>
      <c r="E26" s="213">
        <v>813262728</v>
      </c>
      <c r="F26" s="213"/>
      <c r="G26" s="213"/>
      <c r="H26" s="213"/>
      <c r="I26" s="213">
        <v>880750023</v>
      </c>
      <c r="J26" s="213">
        <f t="shared" si="7"/>
        <v>45028568</v>
      </c>
      <c r="K26" s="214">
        <f t="shared" si="8"/>
        <v>0.059</v>
      </c>
      <c r="L26" s="213">
        <f t="shared" si="9"/>
        <v>67487295</v>
      </c>
      <c r="M26" s="215">
        <f t="shared" si="10"/>
        <v>0.083</v>
      </c>
      <c r="N26" s="213"/>
      <c r="O26" s="213">
        <v>913203900</v>
      </c>
      <c r="P26" s="213">
        <f t="shared" si="11"/>
        <v>32453877</v>
      </c>
      <c r="Q26" s="217">
        <f t="shared" si="12"/>
        <v>0.037</v>
      </c>
      <c r="R26" s="224"/>
    </row>
    <row r="27" spans="1:18" ht="18.75" customHeight="1">
      <c r="A27" s="210"/>
      <c r="B27" s="247" t="s">
        <v>585</v>
      </c>
      <c r="C27" s="211" t="s">
        <v>586</v>
      </c>
      <c r="D27" s="213">
        <v>38973981</v>
      </c>
      <c r="E27" s="213">
        <v>40892674</v>
      </c>
      <c r="F27" s="251"/>
      <c r="G27" s="213"/>
      <c r="H27" s="213"/>
      <c r="I27" s="213">
        <v>38738591</v>
      </c>
      <c r="J27" s="213">
        <f t="shared" si="7"/>
        <v>1918693</v>
      </c>
      <c r="K27" s="214">
        <f t="shared" si="8"/>
        <v>0.049</v>
      </c>
      <c r="L27" s="213">
        <f t="shared" si="9"/>
        <v>-2154083</v>
      </c>
      <c r="M27" s="215">
        <f t="shared" si="10"/>
        <v>-0.053</v>
      </c>
      <c r="N27" s="251"/>
      <c r="O27" s="213">
        <v>36213756</v>
      </c>
      <c r="P27" s="213">
        <f t="shared" si="11"/>
        <v>-2524835</v>
      </c>
      <c r="Q27" s="217">
        <f t="shared" si="12"/>
        <v>-0.065</v>
      </c>
      <c r="R27" s="224"/>
    </row>
    <row r="28" spans="1:18" ht="18.75" customHeight="1">
      <c r="A28" s="219" t="s">
        <v>420</v>
      </c>
      <c r="B28" s="240" t="s">
        <v>399</v>
      </c>
      <c r="C28" s="211"/>
      <c r="D28" s="216">
        <v>291591581</v>
      </c>
      <c r="E28" s="216">
        <v>347996961</v>
      </c>
      <c r="F28" s="213">
        <v>394795849</v>
      </c>
      <c r="G28" s="213">
        <v>323405939</v>
      </c>
      <c r="H28" s="213">
        <v>422891550</v>
      </c>
      <c r="I28" s="213">
        <v>453338095</v>
      </c>
      <c r="J28" s="213">
        <f t="shared" si="7"/>
        <v>56405380</v>
      </c>
      <c r="K28" s="214">
        <f t="shared" si="8"/>
        <v>0.193</v>
      </c>
      <c r="L28" s="216">
        <f t="shared" si="9"/>
        <v>105341134</v>
      </c>
      <c r="M28" s="215">
        <f t="shared" si="10"/>
        <v>0.303</v>
      </c>
      <c r="N28" s="216">
        <f>I28-F28</f>
        <v>58542246</v>
      </c>
      <c r="O28" s="213">
        <v>503761065</v>
      </c>
      <c r="P28" s="213">
        <f t="shared" si="11"/>
        <v>50422970</v>
      </c>
      <c r="Q28" s="217">
        <f t="shared" si="12"/>
        <v>0.111</v>
      </c>
      <c r="R28" s="231"/>
    </row>
    <row r="29" spans="1:18" ht="18.75" customHeight="1">
      <c r="A29" s="210"/>
      <c r="B29" s="247" t="s">
        <v>384</v>
      </c>
      <c r="C29" s="240" t="s">
        <v>587</v>
      </c>
      <c r="D29" s="248">
        <v>112286230</v>
      </c>
      <c r="E29" s="248">
        <v>139730995</v>
      </c>
      <c r="F29" s="248">
        <v>155816718</v>
      </c>
      <c r="G29" s="248">
        <v>131567149</v>
      </c>
      <c r="H29" s="248">
        <v>171377699</v>
      </c>
      <c r="I29" s="248">
        <v>179930743</v>
      </c>
      <c r="J29" s="248">
        <f t="shared" si="7"/>
        <v>27444765</v>
      </c>
      <c r="K29" s="249">
        <f t="shared" si="8"/>
        <v>0.244</v>
      </c>
      <c r="L29" s="248">
        <f t="shared" si="9"/>
        <v>40199748</v>
      </c>
      <c r="M29" s="229">
        <f t="shared" si="10"/>
        <v>0.288</v>
      </c>
      <c r="N29" s="250">
        <f>I29-F29</f>
        <v>24114025</v>
      </c>
      <c r="O29" s="248">
        <v>191177182.98</v>
      </c>
      <c r="P29" s="248">
        <f t="shared" si="11"/>
        <v>11246439.97999999</v>
      </c>
      <c r="Q29" s="217">
        <f t="shared" si="12"/>
        <v>0.063</v>
      </c>
      <c r="R29" s="231"/>
    </row>
    <row r="30" spans="1:18" ht="18.75" customHeight="1">
      <c r="A30" s="210"/>
      <c r="B30" s="247" t="s">
        <v>386</v>
      </c>
      <c r="C30" s="240" t="s">
        <v>588</v>
      </c>
      <c r="D30" s="248">
        <v>275553847</v>
      </c>
      <c r="E30" s="248">
        <v>264424095</v>
      </c>
      <c r="F30" s="248"/>
      <c r="G30" s="248"/>
      <c r="H30" s="248"/>
      <c r="I30" s="248">
        <v>231790727</v>
      </c>
      <c r="J30" s="248">
        <f t="shared" si="7"/>
        <v>-11129752</v>
      </c>
      <c r="K30" s="249">
        <f t="shared" si="8"/>
        <v>-0.04</v>
      </c>
      <c r="L30" s="248">
        <f t="shared" si="9"/>
        <v>-32633368</v>
      </c>
      <c r="M30" s="229">
        <f t="shared" si="10"/>
        <v>-0.123</v>
      </c>
      <c r="N30" s="250"/>
      <c r="O30" s="248">
        <v>214983126</v>
      </c>
      <c r="P30" s="248">
        <f t="shared" si="11"/>
        <v>-16807601</v>
      </c>
      <c r="Q30" s="217">
        <f t="shared" si="12"/>
        <v>-0.073</v>
      </c>
      <c r="R30" s="231"/>
    </row>
    <row r="31" spans="1:18" ht="18.75" customHeight="1">
      <c r="A31" s="219" t="s">
        <v>421</v>
      </c>
      <c r="B31" s="188" t="s">
        <v>400</v>
      </c>
      <c r="C31" s="188"/>
      <c r="D31" s="253"/>
      <c r="E31" s="253"/>
      <c r="F31" s="253"/>
      <c r="G31" s="253"/>
      <c r="H31" s="253"/>
      <c r="I31" s="253"/>
      <c r="J31" s="253"/>
      <c r="K31" s="254"/>
      <c r="L31" s="253"/>
      <c r="M31" s="255"/>
      <c r="N31" s="256"/>
      <c r="O31" s="253"/>
      <c r="P31" s="253"/>
      <c r="Q31" s="257"/>
      <c r="R31" s="239"/>
    </row>
    <row r="32" spans="1:18" ht="15.75">
      <c r="A32" s="219"/>
      <c r="B32" s="240" t="s">
        <v>401</v>
      </c>
      <c r="C32" s="240"/>
      <c r="D32" s="248">
        <f aca="true" t="shared" si="13" ref="D32:I32">D18+D29</f>
        <v>1989682915</v>
      </c>
      <c r="E32" s="248">
        <f t="shared" si="13"/>
        <v>2078903781</v>
      </c>
      <c r="F32" s="248">
        <f t="shared" si="13"/>
        <v>2147983122</v>
      </c>
      <c r="G32" s="248">
        <f t="shared" si="13"/>
        <v>2123184872</v>
      </c>
      <c r="H32" s="248">
        <f t="shared" si="13"/>
        <v>2165184696</v>
      </c>
      <c r="I32" s="248">
        <f t="shared" si="13"/>
        <v>2153610004</v>
      </c>
      <c r="J32" s="248">
        <f>E32-D32</f>
        <v>89220866</v>
      </c>
      <c r="K32" s="249">
        <f>ROUND((E32/D32)-1,3)</f>
        <v>0.045</v>
      </c>
      <c r="L32" s="248">
        <f>I32-E32</f>
        <v>74706223</v>
      </c>
      <c r="M32" s="229">
        <f>ROUND((I32/E32)-1,3)</f>
        <v>0.036</v>
      </c>
      <c r="N32" s="250">
        <f>N18+N29</f>
        <v>5626882</v>
      </c>
      <c r="O32" s="248">
        <f>O18+O29</f>
        <v>2140746454.98</v>
      </c>
      <c r="P32" s="248">
        <f>O32-I32</f>
        <v>-12863549.01999998</v>
      </c>
      <c r="Q32" s="217">
        <f>ROUND((O32/I32)-1,3)</f>
        <v>-0.006</v>
      </c>
      <c r="R32" s="231"/>
    </row>
    <row r="33" spans="1:18" ht="15.75">
      <c r="A33" s="210"/>
      <c r="B33" s="247" t="s">
        <v>384</v>
      </c>
      <c r="C33" s="240" t="s">
        <v>402</v>
      </c>
      <c r="D33" s="213">
        <v>224352029</v>
      </c>
      <c r="E33" s="213">
        <v>203189672</v>
      </c>
      <c r="F33" s="213">
        <f>F38-F39</f>
        <v>133412908</v>
      </c>
      <c r="G33" s="248"/>
      <c r="H33" s="248"/>
      <c r="I33" s="213">
        <v>165416629</v>
      </c>
      <c r="J33" s="213">
        <f>E33-D33</f>
        <v>-21162357</v>
      </c>
      <c r="K33" s="214">
        <f>ROUND((E33/D33)-1,3)</f>
        <v>-0.094</v>
      </c>
      <c r="L33" s="213">
        <f>I33-E33</f>
        <v>-37773043</v>
      </c>
      <c r="M33" s="215">
        <f>ROUND((I33/E33)-1,3)</f>
        <v>-0.186</v>
      </c>
      <c r="N33" s="216">
        <f>I33-F33</f>
        <v>32003721</v>
      </c>
      <c r="O33" s="213">
        <v>67360078.19</v>
      </c>
      <c r="P33" s="213">
        <f>O33-I33</f>
        <v>-98056550.81</v>
      </c>
      <c r="Q33" s="217">
        <f>ROUND((O33/I33)-1,3)</f>
        <v>-0.593</v>
      </c>
      <c r="R33" s="231"/>
    </row>
    <row r="34" spans="1:18" ht="18.75" customHeight="1">
      <c r="A34" s="219" t="s">
        <v>422</v>
      </c>
      <c r="B34" s="188" t="s">
        <v>403</v>
      </c>
      <c r="C34" s="258"/>
      <c r="D34" s="259"/>
      <c r="E34" s="259"/>
      <c r="F34" s="259"/>
      <c r="G34" s="259"/>
      <c r="H34" s="259"/>
      <c r="I34" s="259"/>
      <c r="J34" s="259"/>
      <c r="K34" s="260"/>
      <c r="L34" s="259"/>
      <c r="M34" s="260"/>
      <c r="N34" s="259"/>
      <c r="O34" s="261"/>
      <c r="P34" s="261"/>
      <c r="Q34" s="257"/>
      <c r="R34" s="262"/>
    </row>
    <row r="35" spans="1:18" ht="18.75" customHeight="1">
      <c r="A35" s="219"/>
      <c r="B35" s="247" t="s">
        <v>384</v>
      </c>
      <c r="C35" s="246" t="s">
        <v>404</v>
      </c>
      <c r="D35" s="263" t="s">
        <v>589</v>
      </c>
      <c r="E35" s="263">
        <v>0.235</v>
      </c>
      <c r="F35" s="263">
        <v>0.265</v>
      </c>
      <c r="G35" s="263">
        <v>0.2875</v>
      </c>
      <c r="H35" s="263"/>
      <c r="I35" s="263">
        <v>0.2875</v>
      </c>
      <c r="J35" s="263">
        <f>E35-D35</f>
        <v>-0.010000000000000009</v>
      </c>
      <c r="K35" s="243"/>
      <c r="L35" s="263">
        <f>I35-E35</f>
        <v>0.05249999999999999</v>
      </c>
      <c r="M35" s="244">
        <f>ROUND((I35/E35)-1,3)</f>
        <v>0.223</v>
      </c>
      <c r="N35" s="264">
        <f>I35-F35</f>
        <v>0.022499999999999964</v>
      </c>
      <c r="O35" s="263">
        <v>1</v>
      </c>
      <c r="P35" s="263">
        <f>O35-I35</f>
        <v>0.7125</v>
      </c>
      <c r="Q35" s="217">
        <f>ROUND((O35/I35)-1,3)</f>
        <v>2.478</v>
      </c>
      <c r="R35" s="265"/>
    </row>
    <row r="36" spans="1:18" ht="15.75">
      <c r="A36" s="219"/>
      <c r="B36" s="247" t="s">
        <v>386</v>
      </c>
      <c r="C36" s="246" t="s">
        <v>590</v>
      </c>
      <c r="D36" s="263" t="s">
        <v>591</v>
      </c>
      <c r="E36" s="263">
        <v>0.07</v>
      </c>
      <c r="F36" s="263">
        <v>0.145</v>
      </c>
      <c r="G36" s="263">
        <v>0.1425</v>
      </c>
      <c r="H36" s="263"/>
      <c r="I36" s="263">
        <f>0.098+0.0055</f>
        <v>0.10350000000000001</v>
      </c>
      <c r="J36" s="263">
        <f>E36-D36</f>
        <v>0.00930000000000001</v>
      </c>
      <c r="K36" s="243"/>
      <c r="L36" s="263">
        <f>I36-E36</f>
        <v>0.0335</v>
      </c>
      <c r="M36" s="244">
        <f>ROUND((I36/E36)-1,3)</f>
        <v>0.479</v>
      </c>
      <c r="N36" s="264">
        <f>I36-F36</f>
        <v>-0.04149999999999998</v>
      </c>
      <c r="O36" s="263">
        <v>0</v>
      </c>
      <c r="P36" s="263">
        <f>O36-I36</f>
        <v>-0.10350000000000001</v>
      </c>
      <c r="Q36" s="217">
        <f>ROUND((O36/I36)-1,3)</f>
        <v>-1</v>
      </c>
      <c r="R36" s="265"/>
    </row>
    <row r="37" spans="1:18" ht="15.75">
      <c r="A37" s="219"/>
      <c r="B37" s="247" t="s">
        <v>388</v>
      </c>
      <c r="C37" s="246" t="s">
        <v>405</v>
      </c>
      <c r="D37" s="263" t="s">
        <v>592</v>
      </c>
      <c r="E37" s="263">
        <v>0.305</v>
      </c>
      <c r="F37" s="263">
        <v>0.41</v>
      </c>
      <c r="G37" s="263">
        <v>0.43</v>
      </c>
      <c r="H37" s="263"/>
      <c r="I37" s="263">
        <f>I35+I36</f>
        <v>0.391</v>
      </c>
      <c r="J37" s="263">
        <f>E37-D37</f>
        <v>-0.0007000000000000339</v>
      </c>
      <c r="K37" s="243"/>
      <c r="L37" s="263">
        <f>I37-E37</f>
        <v>0.08600000000000002</v>
      </c>
      <c r="M37" s="244">
        <f>ROUND((I37/E37)-1,3)</f>
        <v>0.282</v>
      </c>
      <c r="N37" s="264">
        <f>I37-F37</f>
        <v>-0.01899999999999996</v>
      </c>
      <c r="O37" s="263">
        <f>O35+O36</f>
        <v>1</v>
      </c>
      <c r="P37" s="263">
        <f>O37-I37</f>
        <v>0.609</v>
      </c>
      <c r="Q37" s="217">
        <f>ROUND((O37/I37)-1,3)</f>
        <v>1.558</v>
      </c>
      <c r="R37" s="265"/>
    </row>
    <row r="38" spans="1:18" ht="18.75" customHeight="1">
      <c r="A38" s="219"/>
      <c r="B38" s="247" t="s">
        <v>390</v>
      </c>
      <c r="C38" s="240" t="s">
        <v>406</v>
      </c>
      <c r="D38" s="266">
        <f>D33+D39</f>
        <v>66330743</v>
      </c>
      <c r="E38" s="266">
        <f>E33+E39</f>
        <v>43778452</v>
      </c>
      <c r="F38" s="266">
        <f>56678884-20106263</f>
        <v>36572621</v>
      </c>
      <c r="G38" s="267"/>
      <c r="H38" s="267"/>
      <c r="I38" s="266">
        <f>I33+I39</f>
        <v>50117395</v>
      </c>
      <c r="J38" s="266">
        <f>E38-D38</f>
        <v>-22552291</v>
      </c>
      <c r="K38" s="268">
        <f>ROUND((E38/D38)-1,3)</f>
        <v>-0.34</v>
      </c>
      <c r="L38" s="266">
        <f>I38-E38</f>
        <v>6338943</v>
      </c>
      <c r="M38" s="269">
        <f>ROUND((I38/E38)-1,3)</f>
        <v>0.145</v>
      </c>
      <c r="N38" s="270">
        <f>I38-F38</f>
        <v>13544774</v>
      </c>
      <c r="O38" s="266">
        <f>O33+O39</f>
        <v>67360078.19</v>
      </c>
      <c r="P38" s="266">
        <f>O38-I38</f>
        <v>17242683.189999998</v>
      </c>
      <c r="Q38" s="217">
        <f>ROUND((O38/I38)-1,3)</f>
        <v>0.344</v>
      </c>
      <c r="R38" s="265"/>
    </row>
    <row r="39" spans="1:18" ht="18.75" customHeight="1">
      <c r="A39" s="219"/>
      <c r="B39" s="247" t="s">
        <v>392</v>
      </c>
      <c r="C39" s="211" t="s">
        <v>593</v>
      </c>
      <c r="D39" s="266">
        <v>-158021286</v>
      </c>
      <c r="E39" s="266">
        <v>-159411220</v>
      </c>
      <c r="F39" s="266">
        <v>-96840287</v>
      </c>
      <c r="G39" s="266">
        <v>80561854</v>
      </c>
      <c r="H39" s="266">
        <v>110979338</v>
      </c>
      <c r="I39" s="266">
        <v>-115299234</v>
      </c>
      <c r="J39" s="266">
        <f>E39-D39</f>
        <v>-1389934</v>
      </c>
      <c r="K39" s="268">
        <f>ROUND((E39/D39)-1,3)</f>
        <v>0.009</v>
      </c>
      <c r="L39" s="266">
        <f>I39-E39</f>
        <v>44111986</v>
      </c>
      <c r="M39" s="269">
        <f>ROUND((I39/E39)-1,3)</f>
        <v>-0.277</v>
      </c>
      <c r="N39" s="271">
        <f>I39-F39</f>
        <v>-18458947</v>
      </c>
      <c r="O39" s="266">
        <v>0</v>
      </c>
      <c r="P39" s="266">
        <f>O39-I39</f>
        <v>115299234</v>
      </c>
      <c r="Q39" s="217">
        <f>ROUND((O39/I39)-1,3)</f>
        <v>-1</v>
      </c>
      <c r="R39" s="265"/>
    </row>
    <row r="40" spans="1:18" ht="18.75" customHeight="1">
      <c r="A40" s="272" t="s">
        <v>423</v>
      </c>
      <c r="B40" s="273" t="s">
        <v>407</v>
      </c>
      <c r="C40" s="258"/>
      <c r="D40" s="274"/>
      <c r="E40" s="274"/>
      <c r="F40" s="274"/>
      <c r="G40" s="274"/>
      <c r="H40" s="274"/>
      <c r="I40" s="274"/>
      <c r="J40" s="274"/>
      <c r="K40" s="275"/>
      <c r="L40" s="274"/>
      <c r="M40" s="276"/>
      <c r="N40" s="277"/>
      <c r="O40" s="274"/>
      <c r="P40" s="274"/>
      <c r="Q40" s="257"/>
      <c r="R40" s="278"/>
    </row>
    <row r="41" spans="1:18" ht="18.75" customHeight="1">
      <c r="A41" s="210"/>
      <c r="B41" s="279" t="s">
        <v>594</v>
      </c>
      <c r="C41" s="246"/>
      <c r="D41" s="248">
        <v>93917929</v>
      </c>
      <c r="E41" s="248">
        <v>89370518</v>
      </c>
      <c r="F41" s="248">
        <v>97458550</v>
      </c>
      <c r="G41" s="248">
        <v>98872397</v>
      </c>
      <c r="H41" s="248">
        <v>102364487</v>
      </c>
      <c r="I41" s="248">
        <v>95490855</v>
      </c>
      <c r="J41" s="248">
        <f>E41-D41</f>
        <v>-4547411</v>
      </c>
      <c r="K41" s="249">
        <f>ROUND((E41/D41)-1,3)</f>
        <v>-0.048</v>
      </c>
      <c r="L41" s="248">
        <f>I41-E41</f>
        <v>6120337</v>
      </c>
      <c r="M41" s="229">
        <f>ROUND((I41/E41)-1,3)</f>
        <v>0.068</v>
      </c>
      <c r="N41" s="250">
        <f>I41-F41</f>
        <v>-1967695</v>
      </c>
      <c r="O41" s="248">
        <v>98119853.5</v>
      </c>
      <c r="P41" s="248">
        <f>O41-I41</f>
        <v>2628998.5</v>
      </c>
      <c r="Q41" s="217">
        <f>ROUND((O41/I41)-1,3)</f>
        <v>0.028</v>
      </c>
      <c r="R41" s="231"/>
    </row>
    <row r="42" spans="1:18" ht="18.75" customHeight="1">
      <c r="A42" s="280" t="s">
        <v>424</v>
      </c>
      <c r="B42" s="211" t="s">
        <v>595</v>
      </c>
      <c r="C42" s="211"/>
      <c r="D42" s="248">
        <f aca="true" t="shared" si="14" ref="D42:I42">D18+D29+D39+D41</f>
        <v>1925579558</v>
      </c>
      <c r="E42" s="248">
        <f t="shared" si="14"/>
        <v>2008863079</v>
      </c>
      <c r="F42" s="248">
        <f t="shared" si="14"/>
        <v>2148601385</v>
      </c>
      <c r="G42" s="248">
        <f t="shared" si="14"/>
        <v>2302619123</v>
      </c>
      <c r="H42" s="248">
        <f t="shared" si="14"/>
        <v>2378528521</v>
      </c>
      <c r="I42" s="248">
        <f t="shared" si="14"/>
        <v>2133801625</v>
      </c>
      <c r="J42" s="248">
        <f>E42-D42</f>
        <v>83283521</v>
      </c>
      <c r="K42" s="249">
        <f>ROUND((E42/D42)-1,3)</f>
        <v>0.043</v>
      </c>
      <c r="L42" s="248">
        <f>I42-E42</f>
        <v>124938546</v>
      </c>
      <c r="M42" s="229">
        <f>ROUND((I42/E42)-1,3)</f>
        <v>0.062</v>
      </c>
      <c r="N42" s="250">
        <f>N18+N29+N39+N41</f>
        <v>-14799760</v>
      </c>
      <c r="O42" s="248">
        <f>O18+O29+O39+O41</f>
        <v>2238866308.48</v>
      </c>
      <c r="P42" s="248">
        <f>O42-I42</f>
        <v>105064683.48000002</v>
      </c>
      <c r="Q42" s="217">
        <f>ROUND((O42/I42)-1,3)</f>
        <v>0.049</v>
      </c>
      <c r="R42" s="231"/>
    </row>
    <row r="43" spans="1:18" ht="18.75" customHeight="1">
      <c r="A43" s="280" t="s">
        <v>425</v>
      </c>
      <c r="B43" s="211" t="s">
        <v>408</v>
      </c>
      <c r="C43" s="211"/>
      <c r="D43" s="213">
        <v>46579624</v>
      </c>
      <c r="E43" s="213">
        <v>83059422</v>
      </c>
      <c r="F43" s="213">
        <v>52807586</v>
      </c>
      <c r="G43" s="213">
        <v>52807586</v>
      </c>
      <c r="H43" s="213">
        <v>52807586</v>
      </c>
      <c r="I43" s="213">
        <v>53411522</v>
      </c>
      <c r="J43" s="213">
        <f>E43-D43</f>
        <v>36479798</v>
      </c>
      <c r="K43" s="214">
        <f>ROUND((E43/D43)-1,3)</f>
        <v>0.783</v>
      </c>
      <c r="L43" s="213">
        <f>I43-E43</f>
        <v>-29647900</v>
      </c>
      <c r="M43" s="215">
        <f>ROUND((I43/E43)-1,3)</f>
        <v>-0.357</v>
      </c>
      <c r="N43" s="216">
        <f>I43-F43</f>
        <v>603936</v>
      </c>
      <c r="O43" s="213">
        <v>0</v>
      </c>
      <c r="P43" s="213">
        <f>O43-I43</f>
        <v>-53411522</v>
      </c>
      <c r="Q43" s="217">
        <f>ROUND((O43/I43)-1,3)</f>
        <v>-1</v>
      </c>
      <c r="R43" s="231"/>
    </row>
    <row r="44" spans="1:18" ht="18.75" customHeight="1">
      <c r="A44" s="272" t="s">
        <v>426</v>
      </c>
      <c r="B44" s="273" t="s">
        <v>409</v>
      </c>
      <c r="C44" s="281"/>
      <c r="D44" s="282"/>
      <c r="E44" s="282"/>
      <c r="F44" s="282"/>
      <c r="G44" s="282"/>
      <c r="H44" s="282"/>
      <c r="I44" s="282"/>
      <c r="J44" s="282"/>
      <c r="K44" s="207"/>
      <c r="L44" s="282"/>
      <c r="M44" s="283"/>
      <c r="N44" s="284"/>
      <c r="O44" s="282"/>
      <c r="P44" s="282"/>
      <c r="Q44" s="257"/>
      <c r="R44" s="285"/>
    </row>
    <row r="45" spans="1:18" ht="15.75">
      <c r="A45" s="286"/>
      <c r="B45" s="211" t="s">
        <v>596</v>
      </c>
      <c r="C45" s="246"/>
      <c r="D45" s="248">
        <f aca="true" t="shared" si="15" ref="D45:I45">SUM(D42:D43)</f>
        <v>1972159182</v>
      </c>
      <c r="E45" s="248">
        <f t="shared" si="15"/>
        <v>2091922501</v>
      </c>
      <c r="F45" s="248">
        <f t="shared" si="15"/>
        <v>2201408971</v>
      </c>
      <c r="G45" s="248">
        <f t="shared" si="15"/>
        <v>2355426709</v>
      </c>
      <c r="H45" s="248">
        <f t="shared" si="15"/>
        <v>2431336107</v>
      </c>
      <c r="I45" s="248">
        <f t="shared" si="15"/>
        <v>2187213147</v>
      </c>
      <c r="J45" s="248">
        <f>E45-D45</f>
        <v>119763319</v>
      </c>
      <c r="K45" s="249">
        <f>ROUND((E45/D45)-1,3)</f>
        <v>0.061</v>
      </c>
      <c r="L45" s="248">
        <f>I45-E45</f>
        <v>95290646</v>
      </c>
      <c r="M45" s="229">
        <f>ROUND((I45/E45)-1,3)</f>
        <v>0.046</v>
      </c>
      <c r="N45" s="250">
        <f>SUM(N42:N43)</f>
        <v>-14195824</v>
      </c>
      <c r="O45" s="248">
        <f>SUM(O42:O43)</f>
        <v>2238866308.48</v>
      </c>
      <c r="P45" s="248">
        <f>O45-I45</f>
        <v>51653161.48000002</v>
      </c>
      <c r="Q45" s="217">
        <f>ROUND((O45/I45)-1,3)</f>
        <v>0.024</v>
      </c>
      <c r="R45" s="231"/>
    </row>
    <row r="46" spans="1:18" ht="15.75">
      <c r="A46" s="272" t="s">
        <v>427</v>
      </c>
      <c r="B46" s="273" t="s">
        <v>597</v>
      </c>
      <c r="C46" s="220"/>
      <c r="D46" s="282">
        <f aca="true" t="shared" si="16" ref="D46:P46">D48+D47</f>
        <v>0</v>
      </c>
      <c r="E46" s="282">
        <f t="shared" si="16"/>
        <v>536205</v>
      </c>
      <c r="F46" s="282">
        <f t="shared" si="16"/>
        <v>0</v>
      </c>
      <c r="G46" s="282">
        <f t="shared" si="16"/>
        <v>0</v>
      </c>
      <c r="H46" s="282">
        <f t="shared" si="16"/>
        <v>0</v>
      </c>
      <c r="I46" s="282">
        <f t="shared" si="16"/>
        <v>0</v>
      </c>
      <c r="J46" s="282">
        <f t="shared" si="16"/>
        <v>536205</v>
      </c>
      <c r="K46" s="282" t="e">
        <f t="shared" si="16"/>
        <v>#DIV/0!</v>
      </c>
      <c r="L46" s="282">
        <f t="shared" si="16"/>
        <v>-536205</v>
      </c>
      <c r="M46" s="282">
        <f t="shared" si="16"/>
        <v>-2</v>
      </c>
      <c r="N46" s="282">
        <f t="shared" si="16"/>
        <v>0</v>
      </c>
      <c r="O46" s="282">
        <f t="shared" si="16"/>
        <v>631494</v>
      </c>
      <c r="P46" s="282">
        <f t="shared" si="16"/>
        <v>631494</v>
      </c>
      <c r="Q46" s="257"/>
      <c r="R46" s="209"/>
    </row>
    <row r="47" spans="1:18" ht="15.75">
      <c r="A47" s="286"/>
      <c r="B47" s="287"/>
      <c r="C47" s="211" t="s">
        <v>410</v>
      </c>
      <c r="D47" s="213">
        <v>0</v>
      </c>
      <c r="E47" s="213">
        <v>302531</v>
      </c>
      <c r="F47" s="213">
        <v>0</v>
      </c>
      <c r="G47" s="213">
        <v>0</v>
      </c>
      <c r="H47" s="213"/>
      <c r="I47" s="213">
        <v>0</v>
      </c>
      <c r="J47" s="213">
        <f>E47-D47</f>
        <v>302531</v>
      </c>
      <c r="K47" s="214" t="e">
        <f>ROUND((E47/D47)-1,3)</f>
        <v>#DIV/0!</v>
      </c>
      <c r="L47" s="213">
        <f>I47-E47</f>
        <v>-302531</v>
      </c>
      <c r="M47" s="215">
        <f>ROUND((I47/E47)-1,3)</f>
        <v>-1</v>
      </c>
      <c r="N47" s="216">
        <f>I47-F47</f>
        <v>0</v>
      </c>
      <c r="O47" s="213">
        <v>386363</v>
      </c>
      <c r="P47" s="213">
        <f>O47-I47</f>
        <v>386363</v>
      </c>
      <c r="Q47" s="217">
        <v>1</v>
      </c>
      <c r="R47" s="231"/>
    </row>
    <row r="48" spans="1:18" ht="15.75">
      <c r="A48" s="286"/>
      <c r="B48" s="211"/>
      <c r="C48" s="211" t="s">
        <v>411</v>
      </c>
      <c r="D48" s="213">
        <v>0</v>
      </c>
      <c r="E48" s="213">
        <v>233674</v>
      </c>
      <c r="F48" s="213">
        <v>0</v>
      </c>
      <c r="G48" s="213">
        <v>0</v>
      </c>
      <c r="H48" s="213"/>
      <c r="I48" s="213">
        <v>0</v>
      </c>
      <c r="J48" s="213">
        <f>E48-D48</f>
        <v>233674</v>
      </c>
      <c r="K48" s="214" t="e">
        <f>ROUND((E48/D48)-1,3)</f>
        <v>#DIV/0!</v>
      </c>
      <c r="L48" s="213">
        <f>I48-E48</f>
        <v>-233674</v>
      </c>
      <c r="M48" s="215">
        <f>ROUND((I48/E48)-1,3)</f>
        <v>-1</v>
      </c>
      <c r="N48" s="216">
        <f>I48-F48</f>
        <v>0</v>
      </c>
      <c r="O48" s="213">
        <v>245131</v>
      </c>
      <c r="P48" s="213">
        <f>O48-I48</f>
        <v>245131</v>
      </c>
      <c r="Q48" s="217">
        <v>1</v>
      </c>
      <c r="R48" s="224"/>
    </row>
    <row r="49" spans="1:18" ht="15.75">
      <c r="A49" s="272" t="s">
        <v>428</v>
      </c>
      <c r="B49" s="211" t="s">
        <v>598</v>
      </c>
      <c r="C49" s="211"/>
      <c r="D49" s="288">
        <f aca="true" t="shared" si="17" ref="D49:P49">D45+D46</f>
        <v>1972159182</v>
      </c>
      <c r="E49" s="288">
        <f t="shared" si="17"/>
        <v>2092458706</v>
      </c>
      <c r="F49" s="288">
        <f t="shared" si="17"/>
        <v>2201408971</v>
      </c>
      <c r="G49" s="288">
        <f t="shared" si="17"/>
        <v>2355426709</v>
      </c>
      <c r="H49" s="288">
        <f t="shared" si="17"/>
        <v>2431336107</v>
      </c>
      <c r="I49" s="288">
        <f t="shared" si="17"/>
        <v>2187213147</v>
      </c>
      <c r="J49" s="288">
        <f t="shared" si="17"/>
        <v>120299524</v>
      </c>
      <c r="K49" s="288" t="e">
        <f t="shared" si="17"/>
        <v>#DIV/0!</v>
      </c>
      <c r="L49" s="288">
        <f t="shared" si="17"/>
        <v>94754441</v>
      </c>
      <c r="M49" s="288">
        <f t="shared" si="17"/>
        <v>-1.954</v>
      </c>
      <c r="N49" s="288">
        <f t="shared" si="17"/>
        <v>-14195824</v>
      </c>
      <c r="O49" s="288">
        <f t="shared" si="17"/>
        <v>2239497802.48</v>
      </c>
      <c r="P49" s="288">
        <f t="shared" si="17"/>
        <v>52284655.48000002</v>
      </c>
      <c r="Q49" s="217">
        <f>ROUND((O49/I49)-1,3)</f>
        <v>0.024</v>
      </c>
      <c r="R49" s="289"/>
    </row>
    <row r="50" spans="1:18" ht="15.75">
      <c r="A50" s="272" t="s">
        <v>429</v>
      </c>
      <c r="B50" s="211" t="s">
        <v>599</v>
      </c>
      <c r="C50" s="211"/>
      <c r="D50" s="288"/>
      <c r="E50" s="288"/>
      <c r="F50" s="288"/>
      <c r="G50" s="288"/>
      <c r="H50" s="288"/>
      <c r="I50" s="288"/>
      <c r="J50" s="288"/>
      <c r="K50" s="290"/>
      <c r="L50" s="288"/>
      <c r="M50" s="291"/>
      <c r="N50" s="292"/>
      <c r="O50" s="288"/>
      <c r="P50" s="288"/>
      <c r="Q50" s="217"/>
      <c r="R50" s="289"/>
    </row>
    <row r="51" spans="1:18" ht="15.75">
      <c r="A51" s="272"/>
      <c r="B51" s="247" t="s">
        <v>384</v>
      </c>
      <c r="C51" s="211" t="s">
        <v>412</v>
      </c>
      <c r="D51" s="213">
        <v>-1240429</v>
      </c>
      <c r="E51" s="213">
        <v>-2961111</v>
      </c>
      <c r="F51" s="213">
        <v>-2496342</v>
      </c>
      <c r="G51" s="213">
        <v>0</v>
      </c>
      <c r="H51" s="213"/>
      <c r="I51" s="213">
        <v>-3411397</v>
      </c>
      <c r="J51" s="213">
        <f>E51-D51</f>
        <v>-1720682</v>
      </c>
      <c r="K51" s="214">
        <f>ROUND((E51/D51)-1,3)</f>
        <v>1.387</v>
      </c>
      <c r="L51" s="213">
        <f>I51-E51</f>
        <v>-450286</v>
      </c>
      <c r="M51" s="215">
        <f>ROUND((I51/E51)-1,3)</f>
        <v>0.152</v>
      </c>
      <c r="N51" s="216">
        <f>I51-F51</f>
        <v>-915055</v>
      </c>
      <c r="O51" s="213">
        <v>-2276851</v>
      </c>
      <c r="P51" s="213">
        <f>O51-I51</f>
        <v>1134546</v>
      </c>
      <c r="Q51" s="217">
        <f>ROUND((O51/I51)-1,3)</f>
        <v>-0.333</v>
      </c>
      <c r="R51" s="224"/>
    </row>
    <row r="52" spans="1:18" ht="15.75">
      <c r="A52" s="272"/>
      <c r="B52" s="247" t="s">
        <v>386</v>
      </c>
      <c r="C52" s="211" t="s">
        <v>600</v>
      </c>
      <c r="D52" s="213"/>
      <c r="E52" s="213"/>
      <c r="F52" s="213"/>
      <c r="G52" s="213"/>
      <c r="H52" s="213"/>
      <c r="I52" s="213"/>
      <c r="J52" s="213"/>
      <c r="K52" s="214"/>
      <c r="L52" s="213"/>
      <c r="M52" s="215"/>
      <c r="N52" s="216"/>
      <c r="O52" s="213">
        <v>-19000019</v>
      </c>
      <c r="P52" s="213">
        <f>O52-I52</f>
        <v>-19000019</v>
      </c>
      <c r="Q52" s="217">
        <v>-1</v>
      </c>
      <c r="R52" s="224"/>
    </row>
    <row r="53" spans="1:18" ht="15.75">
      <c r="A53" s="272" t="s">
        <v>430</v>
      </c>
      <c r="B53" s="240" t="s">
        <v>601</v>
      </c>
      <c r="C53" s="211"/>
      <c r="D53" s="248">
        <f aca="true" t="shared" si="18" ref="D53:I53">D49+D51</f>
        <v>1970918753</v>
      </c>
      <c r="E53" s="248">
        <f t="shared" si="18"/>
        <v>2089497595</v>
      </c>
      <c r="F53" s="248">
        <f t="shared" si="18"/>
        <v>2198912629</v>
      </c>
      <c r="G53" s="248">
        <f t="shared" si="18"/>
        <v>2355426709</v>
      </c>
      <c r="H53" s="248">
        <f t="shared" si="18"/>
        <v>2431336107</v>
      </c>
      <c r="I53" s="248">
        <f t="shared" si="18"/>
        <v>2183801750</v>
      </c>
      <c r="J53" s="248">
        <f>E53-D53</f>
        <v>118578842</v>
      </c>
      <c r="K53" s="249">
        <f>ROUND((E53/D53)-1,3)</f>
        <v>0.06</v>
      </c>
      <c r="L53" s="288">
        <f>I53-E53</f>
        <v>94304155</v>
      </c>
      <c r="M53" s="291">
        <f>ROUND((I53/E53)-1,3)</f>
        <v>0.045</v>
      </c>
      <c r="N53" s="250">
        <f>N49+N51</f>
        <v>-15110879</v>
      </c>
      <c r="O53" s="248">
        <f>O49+O51+O52</f>
        <v>2218220932.48</v>
      </c>
      <c r="P53" s="248">
        <f>O53-I53</f>
        <v>34419182.48000002</v>
      </c>
      <c r="Q53" s="217">
        <f>ROUND((O53/I53)-1,3)</f>
        <v>0.016</v>
      </c>
      <c r="R53" s="231"/>
    </row>
    <row r="54" spans="1:18" ht="15.75">
      <c r="A54" s="272"/>
      <c r="B54" s="247" t="s">
        <v>384</v>
      </c>
      <c r="C54" s="211" t="s">
        <v>602</v>
      </c>
      <c r="D54" s="248"/>
      <c r="E54" s="248">
        <f>E53-D53</f>
        <v>118578842</v>
      </c>
      <c r="F54" s="248"/>
      <c r="G54" s="248"/>
      <c r="H54" s="248"/>
      <c r="I54" s="248">
        <f>I53-E53</f>
        <v>94304155</v>
      </c>
      <c r="J54" s="248"/>
      <c r="K54" s="249"/>
      <c r="L54" s="288"/>
      <c r="M54" s="291"/>
      <c r="N54" s="250"/>
      <c r="O54" s="248">
        <f>O53-I53</f>
        <v>34419182.48000002</v>
      </c>
      <c r="P54" s="248"/>
      <c r="Q54" s="217"/>
      <c r="R54" s="231"/>
    </row>
    <row r="55" spans="1:18" ht="15.75">
      <c r="A55" s="272" t="s">
        <v>431</v>
      </c>
      <c r="B55" s="240" t="s">
        <v>413</v>
      </c>
      <c r="C55" s="211"/>
      <c r="D55" s="213">
        <v>1974506903</v>
      </c>
      <c r="E55" s="213">
        <v>2099675563</v>
      </c>
      <c r="F55" s="213">
        <v>2192578998</v>
      </c>
      <c r="G55" s="213">
        <v>2192578998</v>
      </c>
      <c r="H55" s="213">
        <v>2192578998</v>
      </c>
      <c r="I55" s="213">
        <v>2192578998</v>
      </c>
      <c r="J55" s="213">
        <f>E55-D55</f>
        <v>125168660</v>
      </c>
      <c r="K55" s="214">
        <f>ROUND((E55/D55)-1,3)</f>
        <v>0.063</v>
      </c>
      <c r="L55" s="213">
        <f>I55-E55</f>
        <v>92903435</v>
      </c>
      <c r="M55" s="215">
        <f>ROUND((I55/E55)-1,3)</f>
        <v>0.044</v>
      </c>
      <c r="N55" s="216">
        <v>2192578998</v>
      </c>
      <c r="O55" s="213">
        <v>2257642085</v>
      </c>
      <c r="P55" s="213">
        <f>O55-I55</f>
        <v>65063087</v>
      </c>
      <c r="Q55" s="217">
        <f>ROUND((O55/I55)-1,3)</f>
        <v>0.03</v>
      </c>
      <c r="R55" s="224"/>
    </row>
    <row r="56" spans="1:18" ht="15.75">
      <c r="A56" s="272" t="s">
        <v>603</v>
      </c>
      <c r="B56" s="204" t="s">
        <v>414</v>
      </c>
      <c r="C56" s="273"/>
      <c r="D56" s="261"/>
      <c r="E56" s="261"/>
      <c r="F56" s="261"/>
      <c r="G56" s="293"/>
      <c r="H56" s="293"/>
      <c r="I56" s="261"/>
      <c r="J56" s="293"/>
      <c r="K56" s="294"/>
      <c r="L56" s="293"/>
      <c r="M56" s="238"/>
      <c r="N56" s="258"/>
      <c r="O56" s="293"/>
      <c r="P56" s="293"/>
      <c r="Q56" s="257"/>
      <c r="R56" s="285"/>
    </row>
    <row r="57" spans="1:18" ht="16.5" thickBot="1">
      <c r="A57" s="295"/>
      <c r="B57" s="296" t="s">
        <v>604</v>
      </c>
      <c r="C57" s="297"/>
      <c r="D57" s="298">
        <f>D55-D53</f>
        <v>3588150</v>
      </c>
      <c r="E57" s="298">
        <f>E55-E53</f>
        <v>10177968</v>
      </c>
      <c r="F57" s="298">
        <f>F55-F53</f>
        <v>-6333631</v>
      </c>
      <c r="G57" s="298">
        <f>G55-G53</f>
        <v>-162847711</v>
      </c>
      <c r="H57" s="298">
        <f>H55-H53</f>
        <v>-238757109</v>
      </c>
      <c r="I57" s="298">
        <f>+I53-I55</f>
        <v>-8777248</v>
      </c>
      <c r="J57" s="298">
        <f>E57-D57</f>
        <v>6589818</v>
      </c>
      <c r="K57" s="299">
        <f>ROUND((E57/D57)-1,3)</f>
        <v>1.837</v>
      </c>
      <c r="L57" s="298">
        <f>I57-E57</f>
        <v>-18955216</v>
      </c>
      <c r="M57" s="300">
        <f>ROUND((I57/E57)-1,3)</f>
        <v>-1.862</v>
      </c>
      <c r="N57" s="301">
        <f>I57-F57</f>
        <v>-2443617</v>
      </c>
      <c r="O57" s="298">
        <f>+O53-O55</f>
        <v>-39421152.51999998</v>
      </c>
      <c r="P57" s="298">
        <f>O57-I57</f>
        <v>-30643904.51999998</v>
      </c>
      <c r="Q57" s="300">
        <f>ROUND((O57/I57)-1,3)</f>
        <v>3.491</v>
      </c>
      <c r="R57" s="302"/>
    </row>
    <row r="58" ht="13.5" thickTop="1"/>
  </sheetData>
  <sheetProtection sheet="1" objects="1" scenarios="1"/>
  <mergeCells count="3">
    <mergeCell ref="P3:P6"/>
    <mergeCell ref="A2:Q2"/>
    <mergeCell ref="A1:Q1"/>
  </mergeCells>
  <printOptions/>
  <pageMargins left="0.5" right="0.15" top="0.65" bottom="0.56" header="0.36" footer="0.26"/>
  <pageSetup horizontalDpi="600" verticalDpi="600" orientation="portrait" paperSize="5" scale="85" r:id="rId1"/>
  <headerFooter alignWithMargins="0">
    <oddHeader>&amp;RCircular 1061</oddHeader>
    <oddFooter>&amp;L&amp;F,&amp;D&amp;CPrepared by Division of Education Finance&amp;RPage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zoomScalePageLayoutView="0" workbookViewId="0" topLeftCell="O60">
      <selection activeCell="Q75" sqref="Q75"/>
    </sheetView>
  </sheetViews>
  <sheetFormatPr defaultColWidth="9.140625" defaultRowHeight="12.75"/>
  <cols>
    <col min="1" max="1" width="6.28125" style="2" customWidth="1"/>
    <col min="2" max="2" width="20.57421875" style="3" bestFit="1" customWidth="1"/>
    <col min="3" max="3" width="13.00390625" style="3" customWidth="1"/>
    <col min="4" max="4" width="13.8515625" style="3" customWidth="1"/>
    <col min="5" max="5" width="14.57421875" style="3" customWidth="1"/>
    <col min="6" max="6" width="14.28125" style="3" customWidth="1"/>
    <col min="7" max="7" width="16.421875" style="3" customWidth="1"/>
    <col min="8" max="9" width="14.28125" style="3" customWidth="1"/>
    <col min="10" max="10" width="13.421875" style="3" customWidth="1"/>
    <col min="11" max="11" width="18.140625" style="3" customWidth="1"/>
    <col min="12" max="12" width="13.8515625" style="3" customWidth="1"/>
    <col min="13" max="13" width="12.7109375" style="3" customWidth="1"/>
    <col min="14" max="14" width="15.00390625" style="3" customWidth="1"/>
    <col min="15" max="15" width="14.57421875" style="3" customWidth="1"/>
    <col min="16" max="16" width="16.7109375" style="3" customWidth="1"/>
    <col min="17" max="17" width="13.57421875" style="3" customWidth="1"/>
    <col min="18" max="18" width="9.140625" style="3" customWidth="1"/>
    <col min="19" max="19" width="14.28125" style="3" customWidth="1"/>
    <col min="20" max="20" width="12.7109375" style="3" customWidth="1"/>
  </cols>
  <sheetData>
    <row r="1" spans="1:20" s="132" customFormat="1" ht="50.25" customHeight="1">
      <c r="A1" s="328"/>
      <c r="C1" s="368" t="s">
        <v>644</v>
      </c>
      <c r="D1" s="369"/>
      <c r="E1" s="369"/>
      <c r="F1" s="369"/>
      <c r="G1" s="369"/>
      <c r="H1" s="369"/>
      <c r="I1" s="368" t="s">
        <v>661</v>
      </c>
      <c r="J1" s="369"/>
      <c r="K1" s="369"/>
      <c r="L1" s="369"/>
      <c r="M1" s="369"/>
      <c r="N1" s="369"/>
      <c r="O1" s="368" t="s">
        <v>660</v>
      </c>
      <c r="P1" s="369"/>
      <c r="Q1" s="369"/>
      <c r="R1" s="369"/>
      <c r="S1" s="369"/>
      <c r="T1" s="369"/>
    </row>
    <row r="2" spans="1:15" s="132" customFormat="1" ht="23.25">
      <c r="A2" s="14"/>
      <c r="C2" s="326" t="s">
        <v>376</v>
      </c>
      <c r="D2" s="326"/>
      <c r="I2" s="327"/>
      <c r="O2" s="327"/>
    </row>
    <row r="3" spans="1:20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>
      <c r="A4" s="14"/>
      <c r="B4" s="14"/>
      <c r="C4" s="14" t="s">
        <v>4</v>
      </c>
      <c r="D4" s="14"/>
      <c r="E4" s="14"/>
      <c r="F4" s="14"/>
      <c r="G4" s="59">
        <f>'Table 4 Formula'!AA4</f>
        <v>0.35</v>
      </c>
      <c r="H4" s="14"/>
      <c r="I4" s="14"/>
      <c r="J4" s="14"/>
      <c r="K4" s="14"/>
      <c r="L4" s="14"/>
      <c r="M4" s="59">
        <f>'Table 4 Formula'!AJ4</f>
        <v>0.4</v>
      </c>
      <c r="N4" s="14"/>
      <c r="O4" s="14"/>
      <c r="P4" s="14"/>
      <c r="Q4" s="14"/>
      <c r="R4" s="14"/>
      <c r="S4" s="14"/>
      <c r="T4" s="14"/>
    </row>
    <row r="5" spans="1:20" ht="51">
      <c r="A5" s="11" t="s">
        <v>162</v>
      </c>
      <c r="B5" s="11" t="s">
        <v>163</v>
      </c>
      <c r="C5" s="12" t="str">
        <f>'Table 4 Formula'!C5</f>
        <v>Oct.1, 1999 Membership (Per SIS) </v>
      </c>
      <c r="D5" s="12" t="str">
        <f>'Table 4 Formula'!U5</f>
        <v>Total Weighted Membership and/or Units </v>
      </c>
      <c r="E5" s="12" t="str">
        <f>'Table 4 Formula'!V5</f>
        <v>Per Pupil Amount</v>
      </c>
      <c r="F5" s="12" t="str">
        <f>'Table 4 Formula'!W5</f>
        <v>TOTAL LEVEL 1 COSTS </v>
      </c>
      <c r="G5" s="12" t="str">
        <f>'Table 4 Formula'!AA5</f>
        <v>Local Share of Level 1 </v>
      </c>
      <c r="H5" s="12" t="str">
        <f>'Table 4 Formula'!AC5</f>
        <v>STATE SHARE OF LEVEL 1 </v>
      </c>
      <c r="I5" s="12" t="str">
        <f>'Table 4 Formula'!AF5</f>
        <v>Local Revenue Over Level 1 </v>
      </c>
      <c r="J5" s="12" t="str">
        <f>'Table 4 Formula'!AG5</f>
        <v>Local Revenue Under Level 1 </v>
      </c>
      <c r="K5" s="12" t="str">
        <f>'Table 4 Formula'!AI5</f>
        <v>Eligible Local Revenue Level 2 </v>
      </c>
      <c r="L5" s="12" t="s">
        <v>159</v>
      </c>
      <c r="M5" s="12" t="str">
        <f>'Table 4 Formula'!AJ5</f>
        <v>State Aid Level 2 </v>
      </c>
      <c r="N5" s="12" t="str">
        <f>'Table 4 Formula'!AN5</f>
        <v>1999-2000 NEW FORMULA STATE AID (Levels 1 &amp; 2)</v>
      </c>
      <c r="O5" s="12" t="str">
        <f>'Table 4 Formula'!AU5</f>
        <v>Subsequent Year Change </v>
      </c>
      <c r="P5" s="12" t="s">
        <v>160</v>
      </c>
      <c r="Q5" s="12" t="str">
        <f>'Table 4 Formula'!AV5</f>
        <v>Prior Year Formula Calculation </v>
      </c>
      <c r="R5" s="12" t="s">
        <v>161</v>
      </c>
      <c r="S5" s="12" t="str">
        <f>'Table 4 Formula'!BA5</f>
        <v>1999-2000 STATE SHARE OF COST (LEVEL 1 &amp; 2)</v>
      </c>
      <c r="T5" s="12" t="str">
        <f>'Table 4 Formula'!BB5</f>
        <v>1999-2000 Per Pupil State Share (Level 1 &amp; 2) </v>
      </c>
    </row>
    <row r="6" spans="1:20" ht="12.75">
      <c r="A6" s="62"/>
      <c r="B6" s="62"/>
      <c r="C6" s="62">
        <f>'Table 4 Formula'!C6</f>
        <v>-1</v>
      </c>
      <c r="D6" s="62" t="str">
        <f>'Table 4 Formula'!U6</f>
        <v>(8)</v>
      </c>
      <c r="E6" s="62" t="str">
        <f>'Table 4 Formula'!V6</f>
        <v>(9)</v>
      </c>
      <c r="F6" s="62" t="str">
        <f>'Table 4 Formula'!W6</f>
        <v>(10)</v>
      </c>
      <c r="G6" s="62">
        <f>'Table 4 Formula'!AA6</f>
        <v>-14</v>
      </c>
      <c r="H6" s="62" t="str">
        <f>'Table 4 Formula'!AC6</f>
        <v>(16)</v>
      </c>
      <c r="I6" s="62">
        <f>'Table 4 Formula'!AF6</f>
        <v>-19</v>
      </c>
      <c r="J6" s="62">
        <f>'Table 4 Formula'!AG6</f>
        <v>-20</v>
      </c>
      <c r="K6" s="62">
        <f>'Table 4 Formula'!AI6</f>
        <v>-22</v>
      </c>
      <c r="L6" s="62"/>
      <c r="M6" s="62">
        <f>'Table 4 Formula'!AJ6</f>
        <v>-23</v>
      </c>
      <c r="N6" s="62">
        <f>'Table 4 Formula'!AN6</f>
        <v>-27</v>
      </c>
      <c r="O6" s="62">
        <f>'Table 4 Formula'!AU6</f>
        <v>-30</v>
      </c>
      <c r="P6" s="62"/>
      <c r="Q6" s="62">
        <f>'Table 4 Formula'!AV6</f>
        <v>-31</v>
      </c>
      <c r="R6" s="62"/>
      <c r="S6" s="62">
        <f>'Table 4 Formula'!BA6</f>
        <v>-34</v>
      </c>
      <c r="T6" s="62" t="str">
        <f>'Table 4 Formula'!BB6</f>
        <v>(34a)</v>
      </c>
    </row>
    <row r="7" spans="1:20" ht="12.75">
      <c r="A7" s="66"/>
      <c r="B7" s="68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ht="12.75">
      <c r="A8" s="76">
        <v>1</v>
      </c>
      <c r="B8" s="77" t="s">
        <v>7</v>
      </c>
      <c r="C8" s="104">
        <f>'Table 4 Formula'!C8</f>
        <v>10021</v>
      </c>
      <c r="D8" s="104">
        <f>'Table 4 Formula'!U8</f>
        <v>13719.54</v>
      </c>
      <c r="E8" s="305">
        <f>'Table 4 Formula'!V8</f>
        <v>3020</v>
      </c>
      <c r="F8" s="103">
        <f>'Table 4 Formula'!W8</f>
        <v>41433011</v>
      </c>
      <c r="G8" s="103">
        <f>'Table 4 Formula'!AA8</f>
        <v>8601117.146373387</v>
      </c>
      <c r="H8" s="103">
        <f>'Table 4 Formula'!AC8</f>
        <v>32831893.853626613</v>
      </c>
      <c r="I8" s="103">
        <f>'Table 4 Formula'!AF8</f>
        <v>344958.8536266126</v>
      </c>
      <c r="J8" s="105">
        <f>'Table 4 Formula'!AG8</f>
        <v>0</v>
      </c>
      <c r="K8" s="103">
        <f>'Table 4 Formula'!AI8</f>
        <v>344958.8536266126</v>
      </c>
      <c r="L8" s="77">
        <f>IF(K8&gt;0,1,0)</f>
        <v>1</v>
      </c>
      <c r="M8" s="103">
        <f>'Table 4 Formula'!AJ8</f>
        <v>222198.31465029545</v>
      </c>
      <c r="N8" s="103">
        <f>'Table 4 Formula'!AN8</f>
        <v>33054092.16827691</v>
      </c>
      <c r="O8" s="105">
        <f>'Table 4 Formula'!AU8</f>
        <v>1015094.1304</v>
      </c>
      <c r="P8" s="77">
        <f>IF(O8&gt;0,1,0)</f>
        <v>1</v>
      </c>
      <c r="Q8" s="103">
        <f>'Table 4 Formula'!AV8</f>
        <v>0</v>
      </c>
      <c r="R8" s="77">
        <f>IF(Q8&gt;0,1,0)</f>
        <v>0</v>
      </c>
      <c r="S8" s="103">
        <f>'Table 4 Formula'!BA8</f>
        <v>33054092.1304</v>
      </c>
      <c r="T8" s="103">
        <f>'Table 4 Formula'!BB8</f>
        <v>3298.48</v>
      </c>
    </row>
    <row r="9" spans="1:20" ht="12.75">
      <c r="A9" s="76">
        <v>2</v>
      </c>
      <c r="B9" s="77" t="s">
        <v>8</v>
      </c>
      <c r="C9" s="104">
        <f>'Table 4 Formula'!C9</f>
        <v>4243</v>
      </c>
      <c r="D9" s="104">
        <f>'Table 4 Formula'!U9</f>
        <v>5864.77</v>
      </c>
      <c r="E9" s="305">
        <f>'Table 4 Formula'!V9</f>
        <v>3020</v>
      </c>
      <c r="F9" s="103">
        <f>'Table 4 Formula'!W9</f>
        <v>17711605</v>
      </c>
      <c r="G9" s="103">
        <f>'Table 4 Formula'!AA9</f>
        <v>3510594.0766586754</v>
      </c>
      <c r="H9" s="103">
        <f>'Table 4 Formula'!AC9</f>
        <v>14201010.923341325</v>
      </c>
      <c r="I9" s="103">
        <f>'Table 4 Formula'!AF9</f>
        <v>2691230.9233413246</v>
      </c>
      <c r="J9" s="105">
        <f>'Table 4 Formula'!AG9</f>
        <v>0</v>
      </c>
      <c r="K9" s="103">
        <f>'Table 4 Formula'!AI9</f>
        <v>2691230.9233413246</v>
      </c>
      <c r="L9" s="77">
        <f aca="true" t="shared" si="0" ref="L9:L72">IF(K9&gt;0,1,0)</f>
        <v>1</v>
      </c>
      <c r="M9" s="103">
        <f>'Table 4 Formula'!AJ9</f>
        <v>1776788.0583173153</v>
      </c>
      <c r="N9" s="103">
        <f>'Table 4 Formula'!AN9</f>
        <v>15977798.98165864</v>
      </c>
      <c r="O9" s="105">
        <f>'Table 4 Formula'!AU9</f>
        <v>965791.9941</v>
      </c>
      <c r="P9" s="77">
        <f aca="true" t="shared" si="1" ref="P9:P72">IF(O9&gt;0,1,0)</f>
        <v>1</v>
      </c>
      <c r="Q9" s="103">
        <f>'Table 4 Formula'!AV9</f>
        <v>0</v>
      </c>
      <c r="R9" s="77">
        <f aca="true" t="shared" si="2" ref="R9:R72">IF(Q9&gt;0,1,0)</f>
        <v>0</v>
      </c>
      <c r="S9" s="103">
        <f>'Table 4 Formula'!BA9</f>
        <v>15977798.9941</v>
      </c>
      <c r="T9" s="103">
        <f>'Table 4 Formula'!BB9</f>
        <v>3765.68</v>
      </c>
    </row>
    <row r="10" spans="1:20" ht="12.75">
      <c r="A10" s="76">
        <v>3</v>
      </c>
      <c r="B10" s="77" t="s">
        <v>9</v>
      </c>
      <c r="C10" s="104">
        <f>'Table 4 Formula'!C10</f>
        <v>14676</v>
      </c>
      <c r="D10" s="104">
        <f>'Table 4 Formula'!U10</f>
        <v>19215.68</v>
      </c>
      <c r="E10" s="305">
        <f>'Table 4 Formula'!V10</f>
        <v>3020</v>
      </c>
      <c r="F10" s="103">
        <f>'Table 4 Formula'!W10</f>
        <v>58031354</v>
      </c>
      <c r="G10" s="103">
        <f>'Table 4 Formula'!AA10</f>
        <v>28936640.73598366</v>
      </c>
      <c r="H10" s="103">
        <f>'Table 4 Formula'!AC10</f>
        <v>29094713.26401634</v>
      </c>
      <c r="I10" s="103">
        <f>'Table 4 Formula'!AF10</f>
        <v>22854939.26401634</v>
      </c>
      <c r="J10" s="105">
        <f>'Table 4 Formula'!AG10</f>
        <v>0</v>
      </c>
      <c r="K10" s="103">
        <f>'Table 4 Formula'!AI10</f>
        <v>19150347</v>
      </c>
      <c r="L10" s="77">
        <f t="shared" si="0"/>
        <v>1</v>
      </c>
      <c r="M10" s="103">
        <f>'Table 4 Formula'!AJ10</f>
        <v>2780473.045149048</v>
      </c>
      <c r="N10" s="103">
        <f>'Table 4 Formula'!AN10</f>
        <v>31875186.30916539</v>
      </c>
      <c r="O10" s="105">
        <f>'Table 4 Formula'!AU10</f>
        <v>0</v>
      </c>
      <c r="P10" s="77">
        <f t="shared" si="1"/>
        <v>0</v>
      </c>
      <c r="Q10" s="103">
        <f>'Table 4 Formula'!AV10</f>
        <v>4988670.730500001</v>
      </c>
      <c r="R10" s="77">
        <f t="shared" si="2"/>
        <v>1</v>
      </c>
      <c r="S10" s="103">
        <f>'Table 4 Formula'!BA10</f>
        <v>36863857</v>
      </c>
      <c r="T10" s="103">
        <f>'Table 4 Formula'!BB10</f>
        <v>2511.85</v>
      </c>
    </row>
    <row r="11" spans="1:20" ht="12.75">
      <c r="A11" s="76">
        <v>4</v>
      </c>
      <c r="B11" s="77" t="s">
        <v>10</v>
      </c>
      <c r="C11" s="104">
        <f>'Table 4 Formula'!C11</f>
        <v>4554</v>
      </c>
      <c r="D11" s="104">
        <f>'Table 4 Formula'!U11</f>
        <v>6444.63</v>
      </c>
      <c r="E11" s="305">
        <f>'Table 4 Formula'!V11</f>
        <v>3020</v>
      </c>
      <c r="F11" s="103">
        <f>'Table 4 Formula'!W11</f>
        <v>19462783</v>
      </c>
      <c r="G11" s="103">
        <f>'Table 4 Formula'!AA11</f>
        <v>3504516.1347088823</v>
      </c>
      <c r="H11" s="103">
        <f>'Table 4 Formula'!AC11</f>
        <v>15958266.865291119</v>
      </c>
      <c r="I11" s="103">
        <f>'Table 4 Formula'!AF11</f>
        <v>3144141.8652911177</v>
      </c>
      <c r="J11" s="105">
        <f>'Table 4 Formula'!AG11</f>
        <v>0</v>
      </c>
      <c r="K11" s="103">
        <f>'Table 4 Formula'!AI11</f>
        <v>3144141.8652911177</v>
      </c>
      <c r="L11" s="77">
        <f t="shared" si="0"/>
        <v>1</v>
      </c>
      <c r="M11" s="103">
        <f>'Table 4 Formula'!AJ11</f>
        <v>2173612.128508373</v>
      </c>
      <c r="N11" s="103">
        <f>'Table 4 Formula'!AN11</f>
        <v>18131878.993799493</v>
      </c>
      <c r="O11" s="105">
        <f>'Table 4 Formula'!AU11</f>
        <v>1115822.0129</v>
      </c>
      <c r="P11" s="77">
        <f t="shared" si="1"/>
        <v>1</v>
      </c>
      <c r="Q11" s="103">
        <f>'Table 4 Formula'!AV11</f>
        <v>0</v>
      </c>
      <c r="R11" s="77">
        <f t="shared" si="2"/>
        <v>0</v>
      </c>
      <c r="S11" s="103">
        <f>'Table 4 Formula'!BA11</f>
        <v>18131879.0129</v>
      </c>
      <c r="T11" s="103">
        <f>'Table 4 Formula'!BB11</f>
        <v>3981.53</v>
      </c>
    </row>
    <row r="12" spans="1:20" ht="12.75">
      <c r="A12" s="115">
        <v>5</v>
      </c>
      <c r="B12" s="116" t="s">
        <v>11</v>
      </c>
      <c r="C12" s="130">
        <f>'Table 4 Formula'!C12</f>
        <v>7199</v>
      </c>
      <c r="D12" s="130">
        <f>'Table 4 Formula'!U12</f>
        <v>9274.279999999999</v>
      </c>
      <c r="E12" s="306">
        <f>'Table 4 Formula'!V12</f>
        <v>3020</v>
      </c>
      <c r="F12" s="129">
        <f>'Table 4 Formula'!W12</f>
        <v>28008326</v>
      </c>
      <c r="G12" s="129">
        <f>'Table 4 Formula'!AA12</f>
        <v>5043001.751568402</v>
      </c>
      <c r="H12" s="129">
        <f>'Table 4 Formula'!AC12</f>
        <v>22965324.248431597</v>
      </c>
      <c r="I12" s="129">
        <f>'Table 4 Formula'!AF12</f>
        <v>806224.2484315978</v>
      </c>
      <c r="J12" s="131">
        <f>'Table 4 Formula'!AG12</f>
        <v>0</v>
      </c>
      <c r="K12" s="129">
        <f>'Table 4 Formula'!AI12</f>
        <v>806224.2484315978</v>
      </c>
      <c r="L12" s="116">
        <f t="shared" si="0"/>
        <v>1</v>
      </c>
      <c r="M12" s="129">
        <f>'Table 4 Formula'!AJ12</f>
        <v>557372.2243266554</v>
      </c>
      <c r="N12" s="129">
        <f>'Table 4 Formula'!AN12</f>
        <v>23522696.472758252</v>
      </c>
      <c r="O12" s="131">
        <f>'Table 4 Formula'!AU12</f>
        <v>39407.505</v>
      </c>
      <c r="P12" s="116">
        <f t="shared" si="1"/>
        <v>1</v>
      </c>
      <c r="Q12" s="129">
        <f>'Table 4 Formula'!AV12</f>
        <v>0</v>
      </c>
      <c r="R12" s="116">
        <f t="shared" si="2"/>
        <v>0</v>
      </c>
      <c r="S12" s="129">
        <f>'Table 4 Formula'!BA12</f>
        <v>23522696.505</v>
      </c>
      <c r="T12" s="129">
        <f>'Table 4 Formula'!BB12</f>
        <v>3267.5</v>
      </c>
    </row>
    <row r="13" spans="1:20" ht="12.75">
      <c r="A13" s="76">
        <v>6</v>
      </c>
      <c r="B13" s="77" t="s">
        <v>12</v>
      </c>
      <c r="C13" s="104">
        <f>'Table 4 Formula'!C13</f>
        <v>6124</v>
      </c>
      <c r="D13" s="104">
        <f>'Table 4 Formula'!U13</f>
        <v>8047.17</v>
      </c>
      <c r="E13" s="305">
        <f>'Table 4 Formula'!V13</f>
        <v>3020</v>
      </c>
      <c r="F13" s="103">
        <f>'Table 4 Formula'!W13</f>
        <v>24302453</v>
      </c>
      <c r="G13" s="103">
        <f>'Table 4 Formula'!AA13</f>
        <v>7027507.533375686</v>
      </c>
      <c r="H13" s="103">
        <f>'Table 4 Formula'!AC13</f>
        <v>17274945.466624312</v>
      </c>
      <c r="I13" s="103">
        <f>'Table 4 Formula'!AF13</f>
        <v>5223885.466624314</v>
      </c>
      <c r="J13" s="105">
        <f>'Table 4 Formula'!AG13</f>
        <v>0</v>
      </c>
      <c r="K13" s="103">
        <f>'Table 4 Formula'!AI13</f>
        <v>5223885.466624314</v>
      </c>
      <c r="L13" s="77">
        <f t="shared" si="0"/>
        <v>1</v>
      </c>
      <c r="M13" s="103">
        <f>'Table 4 Formula'!AJ13</f>
        <v>2634309.92729677</v>
      </c>
      <c r="N13" s="103">
        <f>'Table 4 Formula'!AN13</f>
        <v>19909255.39392108</v>
      </c>
      <c r="O13" s="105">
        <f>'Table 4 Formula'!AU13</f>
        <v>818508.421</v>
      </c>
      <c r="P13" s="77">
        <f t="shared" si="1"/>
        <v>1</v>
      </c>
      <c r="Q13" s="103">
        <f>'Table 4 Formula'!AV13</f>
        <v>0</v>
      </c>
      <c r="R13" s="77">
        <f t="shared" si="2"/>
        <v>0</v>
      </c>
      <c r="S13" s="103">
        <f>'Table 4 Formula'!BA13</f>
        <v>19909255.421</v>
      </c>
      <c r="T13" s="103">
        <f>'Table 4 Formula'!BB13</f>
        <v>3251.02</v>
      </c>
    </row>
    <row r="14" spans="1:20" ht="12.75">
      <c r="A14" s="76">
        <v>7</v>
      </c>
      <c r="B14" s="77" t="s">
        <v>13</v>
      </c>
      <c r="C14" s="104">
        <f>'Table 4 Formula'!C14</f>
        <v>2663</v>
      </c>
      <c r="D14" s="104">
        <f>'Table 4 Formula'!U14</f>
        <v>3921.83</v>
      </c>
      <c r="E14" s="305">
        <f>'Table 4 Formula'!V14</f>
        <v>3020</v>
      </c>
      <c r="F14" s="103">
        <f>'Table 4 Formula'!W14</f>
        <v>11843927</v>
      </c>
      <c r="G14" s="103">
        <f>'Table 4 Formula'!AA14</f>
        <v>4641143.7658655085</v>
      </c>
      <c r="H14" s="103">
        <f>'Table 4 Formula'!AC14</f>
        <v>7202783.2341344915</v>
      </c>
      <c r="I14" s="103">
        <f>'Table 4 Formula'!AF14</f>
        <v>2734176.2341344915</v>
      </c>
      <c r="J14" s="105">
        <f>'Table 4 Formula'!AG14</f>
        <v>0</v>
      </c>
      <c r="K14" s="103">
        <f>'Table 4 Formula'!AI14</f>
        <v>2734176.2341344915</v>
      </c>
      <c r="L14" s="77">
        <f t="shared" si="0"/>
        <v>1</v>
      </c>
      <c r="M14" s="103">
        <f>'Table 4 Formula'!AJ14</f>
        <v>897475.8501267486</v>
      </c>
      <c r="N14" s="103">
        <f>'Table 4 Formula'!AN14</f>
        <v>8100259.08426124</v>
      </c>
      <c r="O14" s="105">
        <f>'Table 4 Formula'!AU14</f>
        <v>-348191.9252</v>
      </c>
      <c r="P14" s="77">
        <f t="shared" si="1"/>
        <v>0</v>
      </c>
      <c r="Q14" s="103">
        <f>'Table 4 Formula'!AV14</f>
        <v>0</v>
      </c>
      <c r="R14" s="77">
        <f t="shared" si="2"/>
        <v>0</v>
      </c>
      <c r="S14" s="103">
        <f>'Table 4 Formula'!BA14</f>
        <v>8100259.0748</v>
      </c>
      <c r="T14" s="103">
        <f>'Table 4 Formula'!BB14</f>
        <v>3041.78</v>
      </c>
    </row>
    <row r="15" spans="1:20" ht="12.75">
      <c r="A15" s="76">
        <v>8</v>
      </c>
      <c r="B15" s="77" t="s">
        <v>14</v>
      </c>
      <c r="C15" s="104">
        <f>'Table 4 Formula'!C15</f>
        <v>18681</v>
      </c>
      <c r="D15" s="104">
        <f>'Table 4 Formula'!U15</f>
        <v>23519.91</v>
      </c>
      <c r="E15" s="305">
        <f>'Table 4 Formula'!V15</f>
        <v>3020</v>
      </c>
      <c r="F15" s="103">
        <f>'Table 4 Formula'!W15</f>
        <v>71030128</v>
      </c>
      <c r="G15" s="103">
        <f>'Table 4 Formula'!AA15</f>
        <v>22198932.41402064</v>
      </c>
      <c r="H15" s="103">
        <f>'Table 4 Formula'!AC15</f>
        <v>48831195.58597936</v>
      </c>
      <c r="I15" s="103">
        <f>'Table 4 Formula'!AF15</f>
        <v>12402521.585979361</v>
      </c>
      <c r="J15" s="105">
        <f>'Table 4 Formula'!AG15</f>
        <v>0</v>
      </c>
      <c r="K15" s="103">
        <f>'Table 4 Formula'!AI15</f>
        <v>12402521.585979361</v>
      </c>
      <c r="L15" s="77">
        <f t="shared" si="0"/>
        <v>1</v>
      </c>
      <c r="M15" s="103">
        <f>'Table 4 Formula'!AJ15</f>
        <v>5757710.777787675</v>
      </c>
      <c r="N15" s="103">
        <f>'Table 4 Formula'!AN15</f>
        <v>54588906.363767035</v>
      </c>
      <c r="O15" s="105">
        <f>'Table 4 Formula'!AU15</f>
        <v>3158746.4539</v>
      </c>
      <c r="P15" s="77">
        <f t="shared" si="1"/>
        <v>1</v>
      </c>
      <c r="Q15" s="103">
        <f>'Table 4 Formula'!AV15</f>
        <v>0</v>
      </c>
      <c r="R15" s="77">
        <f t="shared" si="2"/>
        <v>0</v>
      </c>
      <c r="S15" s="103">
        <f>'Table 4 Formula'!BA15</f>
        <v>54588906.4539</v>
      </c>
      <c r="T15" s="103">
        <f>'Table 4 Formula'!BB15</f>
        <v>2922.16</v>
      </c>
    </row>
    <row r="16" spans="1:20" ht="12.75">
      <c r="A16" s="76">
        <v>9</v>
      </c>
      <c r="B16" s="77" t="s">
        <v>15</v>
      </c>
      <c r="C16" s="104">
        <f>'Table 4 Formula'!C16</f>
        <v>45417</v>
      </c>
      <c r="D16" s="104">
        <f>'Table 4 Formula'!U16</f>
        <v>60221.14</v>
      </c>
      <c r="E16" s="305">
        <f>'Table 4 Formula'!V16</f>
        <v>3020</v>
      </c>
      <c r="F16" s="103">
        <f>'Table 4 Formula'!W16</f>
        <v>181867843</v>
      </c>
      <c r="G16" s="103">
        <f>'Table 4 Formula'!AA16</f>
        <v>58385487.17058251</v>
      </c>
      <c r="H16" s="103">
        <f>'Table 4 Formula'!AC16</f>
        <v>123482355.8294175</v>
      </c>
      <c r="I16" s="103">
        <f>'Table 4 Formula'!AF16</f>
        <v>54335205.82941749</v>
      </c>
      <c r="J16" s="105">
        <f>'Table 4 Formula'!AG16</f>
        <v>0</v>
      </c>
      <c r="K16" s="103">
        <f>'Table 4 Formula'!AI16</f>
        <v>54335205.82941749</v>
      </c>
      <c r="L16" s="77">
        <f t="shared" si="0"/>
        <v>1</v>
      </c>
      <c r="M16" s="103">
        <f>'Table 4 Formula'!AJ16</f>
        <v>24432287.259117536</v>
      </c>
      <c r="N16" s="103">
        <f>'Table 4 Formula'!AN16</f>
        <v>147914643.08853504</v>
      </c>
      <c r="O16" s="105">
        <f>'Table 4 Formula'!AU16</f>
        <v>8411567.8666</v>
      </c>
      <c r="P16" s="77">
        <f t="shared" si="1"/>
        <v>1</v>
      </c>
      <c r="Q16" s="103">
        <f>'Table 4 Formula'!AV16</f>
        <v>0</v>
      </c>
      <c r="R16" s="77">
        <f t="shared" si="2"/>
        <v>0</v>
      </c>
      <c r="S16" s="103">
        <f>'Table 4 Formula'!BA16</f>
        <v>147914642.8666</v>
      </c>
      <c r="T16" s="103">
        <f>'Table 4 Formula'!BB16</f>
        <v>3256.81</v>
      </c>
    </row>
    <row r="17" spans="1:20" ht="12.75">
      <c r="A17" s="115">
        <v>10</v>
      </c>
      <c r="B17" s="116" t="s">
        <v>16</v>
      </c>
      <c r="C17" s="130">
        <f>'Table 4 Formula'!C17</f>
        <v>32450</v>
      </c>
      <c r="D17" s="130">
        <f>'Table 4 Formula'!U17</f>
        <v>41945.479999999996</v>
      </c>
      <c r="E17" s="306">
        <f>'Table 4 Formula'!V17</f>
        <v>3020</v>
      </c>
      <c r="F17" s="129">
        <f>'Table 4 Formula'!W17</f>
        <v>126675350</v>
      </c>
      <c r="G17" s="129">
        <f>'Table 4 Formula'!AA17</f>
        <v>55318078.985423505</v>
      </c>
      <c r="H17" s="129">
        <f>'Table 4 Formula'!AC17</f>
        <v>71357271.0145765</v>
      </c>
      <c r="I17" s="129">
        <f>'Table 4 Formula'!AF17</f>
        <v>27863794.014576495</v>
      </c>
      <c r="J17" s="131">
        <f>'Table 4 Formula'!AG17</f>
        <v>0</v>
      </c>
      <c r="K17" s="129">
        <f>'Table 4 Formula'!AI17</f>
        <v>27863794.014576495</v>
      </c>
      <c r="L17" s="116">
        <f t="shared" si="0"/>
        <v>1</v>
      </c>
      <c r="M17" s="129">
        <f>'Table 4 Formula'!AJ17</f>
        <v>7004557.523999718</v>
      </c>
      <c r="N17" s="129">
        <f>'Table 4 Formula'!AN17</f>
        <v>78361828.53857622</v>
      </c>
      <c r="O17" s="131">
        <f>'Table 4 Formula'!AU17</f>
        <v>-1425247.367</v>
      </c>
      <c r="P17" s="116">
        <f t="shared" si="1"/>
        <v>0</v>
      </c>
      <c r="Q17" s="129">
        <f>'Table 4 Formula'!AV17</f>
        <v>0</v>
      </c>
      <c r="R17" s="116">
        <f t="shared" si="2"/>
        <v>0</v>
      </c>
      <c r="S17" s="129">
        <f>'Table 4 Formula'!BA17</f>
        <v>78361828.633</v>
      </c>
      <c r="T17" s="129">
        <f>'Table 4 Formula'!BB17</f>
        <v>2414.85</v>
      </c>
    </row>
    <row r="18" spans="1:20" ht="12.75">
      <c r="A18" s="76">
        <v>11</v>
      </c>
      <c r="B18" s="77" t="s">
        <v>17</v>
      </c>
      <c r="C18" s="104">
        <f>'Table 4 Formula'!C18</f>
        <v>1849</v>
      </c>
      <c r="D18" s="104">
        <f>'Table 4 Formula'!U18</f>
        <v>2655.35</v>
      </c>
      <c r="E18" s="305">
        <f>'Table 4 Formula'!V18</f>
        <v>3020</v>
      </c>
      <c r="F18" s="103">
        <f>'Table 4 Formula'!W18</f>
        <v>8019157</v>
      </c>
      <c r="G18" s="103">
        <f>'Table 4 Formula'!AA18</f>
        <v>1379041.989440857</v>
      </c>
      <c r="H18" s="103">
        <f>'Table 4 Formula'!AC18</f>
        <v>6640115.0105591435</v>
      </c>
      <c r="I18" s="103">
        <f>'Table 4 Formula'!AF18</f>
        <v>984188.010559143</v>
      </c>
      <c r="J18" s="105">
        <f>'Table 4 Formula'!AG18</f>
        <v>0</v>
      </c>
      <c r="K18" s="103">
        <f>'Table 4 Formula'!AI18</f>
        <v>984188.010559143</v>
      </c>
      <c r="L18" s="77">
        <f t="shared" si="0"/>
        <v>1</v>
      </c>
      <c r="M18" s="103">
        <f>'Table 4 Formula'!AJ18</f>
        <v>694046.0388070719</v>
      </c>
      <c r="N18" s="103">
        <f>'Table 4 Formula'!AN18</f>
        <v>7334161.049366215</v>
      </c>
      <c r="O18" s="105">
        <f>'Table 4 Formula'!AU18</f>
        <v>366545.0455</v>
      </c>
      <c r="P18" s="77">
        <f t="shared" si="1"/>
        <v>1</v>
      </c>
      <c r="Q18" s="103">
        <f>'Table 4 Formula'!AV18</f>
        <v>0</v>
      </c>
      <c r="R18" s="77">
        <f t="shared" si="2"/>
        <v>0</v>
      </c>
      <c r="S18" s="103">
        <f>'Table 4 Formula'!BA18</f>
        <v>7334161.0455</v>
      </c>
      <c r="T18" s="103">
        <f>'Table 4 Formula'!BB18</f>
        <v>3966.56</v>
      </c>
    </row>
    <row r="19" spans="1:20" ht="12.75">
      <c r="A19" s="76">
        <v>12</v>
      </c>
      <c r="B19" s="77" t="s">
        <v>18</v>
      </c>
      <c r="C19" s="104">
        <f>'Table 4 Formula'!C19</f>
        <v>1982</v>
      </c>
      <c r="D19" s="104">
        <f>'Table 4 Formula'!U19</f>
        <v>2923.13</v>
      </c>
      <c r="E19" s="305">
        <f>'Table 4 Formula'!V19</f>
        <v>3020</v>
      </c>
      <c r="F19" s="103">
        <f>'Table 4 Formula'!W19</f>
        <v>8827853</v>
      </c>
      <c r="G19" s="103">
        <f>'Table 4 Formula'!AA19</f>
        <v>3894732.6046564737</v>
      </c>
      <c r="H19" s="103">
        <f>'Table 4 Formula'!AC19</f>
        <v>4933120.395343526</v>
      </c>
      <c r="I19" s="103">
        <f>'Table 4 Formula'!AF19</f>
        <v>2279027.3953435263</v>
      </c>
      <c r="J19" s="105">
        <f>'Table 4 Formula'!AG19</f>
        <v>0</v>
      </c>
      <c r="K19" s="103">
        <f>'Table 4 Formula'!AI19</f>
        <v>2279027.3953435263</v>
      </c>
      <c r="L19" s="77">
        <f t="shared" si="0"/>
        <v>1</v>
      </c>
      <c r="M19" s="103">
        <f>'Table 4 Formula'!AJ19</f>
        <v>555353.5506711736</v>
      </c>
      <c r="N19" s="103">
        <f>'Table 4 Formula'!AN19</f>
        <v>5488473.9460146995</v>
      </c>
      <c r="O19" s="105">
        <f>'Table 4 Formula'!AU19</f>
        <v>233157.9506</v>
      </c>
      <c r="P19" s="77">
        <f t="shared" si="1"/>
        <v>1</v>
      </c>
      <c r="Q19" s="103">
        <f>'Table 4 Formula'!AV19</f>
        <v>0</v>
      </c>
      <c r="R19" s="77">
        <f t="shared" si="2"/>
        <v>0</v>
      </c>
      <c r="S19" s="103">
        <f>'Table 4 Formula'!BA19</f>
        <v>5488473.9506</v>
      </c>
      <c r="T19" s="103">
        <f>'Table 4 Formula'!BB19</f>
        <v>2769.16</v>
      </c>
    </row>
    <row r="20" spans="1:20" ht="12.75">
      <c r="A20" s="76">
        <v>13</v>
      </c>
      <c r="B20" s="77" t="s">
        <v>19</v>
      </c>
      <c r="C20" s="104">
        <f>'Table 4 Formula'!C20</f>
        <v>1953</v>
      </c>
      <c r="D20" s="104">
        <f>'Table 4 Formula'!U20</f>
        <v>2792.79</v>
      </c>
      <c r="E20" s="305">
        <f>'Table 4 Formula'!V20</f>
        <v>3020</v>
      </c>
      <c r="F20" s="103">
        <f>'Table 4 Formula'!W20</f>
        <v>8434226</v>
      </c>
      <c r="G20" s="103">
        <f>'Table 4 Formula'!AA20</f>
        <v>1589292.5927437998</v>
      </c>
      <c r="H20" s="103">
        <f>'Table 4 Formula'!AC20</f>
        <v>6844933.4072562</v>
      </c>
      <c r="I20" s="103">
        <f>'Table 4 Formula'!AF20</f>
        <v>910860.4072562002</v>
      </c>
      <c r="J20" s="105">
        <f>'Table 4 Formula'!AG20</f>
        <v>0</v>
      </c>
      <c r="K20" s="103">
        <f>'Table 4 Formula'!AI20</f>
        <v>910860.4072562002</v>
      </c>
      <c r="L20" s="77">
        <f t="shared" si="0"/>
        <v>1</v>
      </c>
      <c r="M20" s="103">
        <f>'Table 4 Formula'!AJ20</f>
        <v>616625.8439369312</v>
      </c>
      <c r="N20" s="103">
        <f>'Table 4 Formula'!AN20</f>
        <v>7461559.251193131</v>
      </c>
      <c r="O20" s="105">
        <f>'Table 4 Formula'!AU20</f>
        <v>59832.2461</v>
      </c>
      <c r="P20" s="77">
        <f t="shared" si="1"/>
        <v>1</v>
      </c>
      <c r="Q20" s="103">
        <f>'Table 4 Formula'!AV20</f>
        <v>0</v>
      </c>
      <c r="R20" s="77">
        <f t="shared" si="2"/>
        <v>0</v>
      </c>
      <c r="S20" s="103">
        <f>'Table 4 Formula'!BA20</f>
        <v>7461559.2461</v>
      </c>
      <c r="T20" s="103">
        <f>'Table 4 Formula'!BB20</f>
        <v>3820.56</v>
      </c>
    </row>
    <row r="21" spans="1:20" ht="12.75">
      <c r="A21" s="76">
        <v>14</v>
      </c>
      <c r="B21" s="77" t="s">
        <v>20</v>
      </c>
      <c r="C21" s="104">
        <f>'Table 4 Formula'!C21</f>
        <v>2813</v>
      </c>
      <c r="D21" s="104">
        <f>'Table 4 Formula'!U21</f>
        <v>4242.76</v>
      </c>
      <c r="E21" s="305">
        <f>'Table 4 Formula'!V21</f>
        <v>3020</v>
      </c>
      <c r="F21" s="103">
        <f>'Table 4 Formula'!W21</f>
        <v>12813135</v>
      </c>
      <c r="G21" s="103">
        <f>'Table 4 Formula'!AA21</f>
        <v>3110184.7196070277</v>
      </c>
      <c r="H21" s="103">
        <f>'Table 4 Formula'!AC21</f>
        <v>9702950.280392973</v>
      </c>
      <c r="I21" s="103">
        <f>'Table 4 Formula'!AF21</f>
        <v>1200111.2803929723</v>
      </c>
      <c r="J21" s="105">
        <f>'Table 4 Formula'!AG21</f>
        <v>0</v>
      </c>
      <c r="K21" s="103">
        <f>'Table 4 Formula'!AI21</f>
        <v>1200111.2803929723</v>
      </c>
      <c r="L21" s="77">
        <f t="shared" si="0"/>
        <v>1</v>
      </c>
      <c r="M21" s="103">
        <f>'Table 4 Formula'!AJ21</f>
        <v>700726.1756781378</v>
      </c>
      <c r="N21" s="103">
        <f>'Table 4 Formula'!AN21</f>
        <v>10403676.45607111</v>
      </c>
      <c r="O21" s="105">
        <f>'Table 4 Formula'!AU21</f>
        <v>1003900.445</v>
      </c>
      <c r="P21" s="77">
        <f t="shared" si="1"/>
        <v>1</v>
      </c>
      <c r="Q21" s="103">
        <f>'Table 4 Formula'!AV21</f>
        <v>0</v>
      </c>
      <c r="R21" s="77">
        <f t="shared" si="2"/>
        <v>0</v>
      </c>
      <c r="S21" s="103">
        <f>'Table 4 Formula'!BA21</f>
        <v>10403676.445</v>
      </c>
      <c r="T21" s="103">
        <f>'Table 4 Formula'!BB21</f>
        <v>3698.43</v>
      </c>
    </row>
    <row r="22" spans="1:20" ht="12.75">
      <c r="A22" s="115">
        <v>15</v>
      </c>
      <c r="B22" s="116" t="s">
        <v>21</v>
      </c>
      <c r="C22" s="130">
        <f>'Table 4 Formula'!C22</f>
        <v>3934</v>
      </c>
      <c r="D22" s="130">
        <f>'Table 4 Formula'!U22</f>
        <v>5470.72</v>
      </c>
      <c r="E22" s="306">
        <f>'Table 4 Formula'!V22</f>
        <v>3020</v>
      </c>
      <c r="F22" s="129">
        <f>'Table 4 Formula'!W22</f>
        <v>16521574</v>
      </c>
      <c r="G22" s="129">
        <f>'Table 4 Formula'!AA22</f>
        <v>3542642.361240227</v>
      </c>
      <c r="H22" s="129">
        <f>'Table 4 Formula'!AC22</f>
        <v>12978931.638759773</v>
      </c>
      <c r="I22" s="129">
        <f>'Table 4 Formula'!AF22</f>
        <v>1262069.6387597732</v>
      </c>
      <c r="J22" s="131">
        <f>'Table 4 Formula'!AG22</f>
        <v>0</v>
      </c>
      <c r="K22" s="129">
        <f>'Table 4 Formula'!AI22</f>
        <v>1262069.6387597732</v>
      </c>
      <c r="L22" s="116">
        <f t="shared" si="0"/>
        <v>1</v>
      </c>
      <c r="M22" s="129">
        <f>'Table 4 Formula'!AJ22</f>
        <v>798150.261160974</v>
      </c>
      <c r="N22" s="129">
        <f>'Table 4 Formula'!AN22</f>
        <v>13777081.899920747</v>
      </c>
      <c r="O22" s="131">
        <f>'Table 4 Formula'!AU22</f>
        <v>231550.8916</v>
      </c>
      <c r="P22" s="116">
        <f t="shared" si="1"/>
        <v>1</v>
      </c>
      <c r="Q22" s="129">
        <f>'Table 4 Formula'!AV22</f>
        <v>0</v>
      </c>
      <c r="R22" s="116">
        <f t="shared" si="2"/>
        <v>0</v>
      </c>
      <c r="S22" s="129">
        <f>'Table 4 Formula'!BA22</f>
        <v>13777081.8916</v>
      </c>
      <c r="T22" s="129">
        <f>'Table 4 Formula'!BB22</f>
        <v>3502.05</v>
      </c>
    </row>
    <row r="23" spans="1:20" ht="12.75">
      <c r="A23" s="76">
        <v>16</v>
      </c>
      <c r="B23" s="77" t="s">
        <v>22</v>
      </c>
      <c r="C23" s="104">
        <f>'Table 4 Formula'!C23</f>
        <v>5095</v>
      </c>
      <c r="D23" s="104">
        <f>'Table 4 Formula'!U23</f>
        <v>7121.360000000001</v>
      </c>
      <c r="E23" s="305">
        <f>'Table 4 Formula'!V23</f>
        <v>3020</v>
      </c>
      <c r="F23" s="103">
        <f>'Table 4 Formula'!W23</f>
        <v>21506507</v>
      </c>
      <c r="G23" s="103">
        <f>'Table 4 Formula'!AA23</f>
        <v>7909281.495003685</v>
      </c>
      <c r="H23" s="103">
        <f>'Table 4 Formula'!AC23</f>
        <v>13597225.504996315</v>
      </c>
      <c r="I23" s="103">
        <f>'Table 4 Formula'!AF23</f>
        <v>6571983.504996315</v>
      </c>
      <c r="J23" s="105">
        <f>'Table 4 Formula'!AG23</f>
        <v>0</v>
      </c>
      <c r="K23" s="103">
        <f>'Table 4 Formula'!AI23</f>
        <v>6571983.504996315</v>
      </c>
      <c r="L23" s="77">
        <f t="shared" si="0"/>
        <v>1</v>
      </c>
      <c r="M23" s="103">
        <f>'Table 4 Formula'!AJ23</f>
        <v>2428678.3970026374</v>
      </c>
      <c r="N23" s="103">
        <f>'Table 4 Formula'!AN23</f>
        <v>16025903.901998952</v>
      </c>
      <c r="O23" s="105">
        <f>'Table 4 Formula'!AU23</f>
        <v>-105550.1052</v>
      </c>
      <c r="P23" s="77">
        <f t="shared" si="1"/>
        <v>0</v>
      </c>
      <c r="Q23" s="103">
        <f>'Table 4 Formula'!AV23</f>
        <v>0</v>
      </c>
      <c r="R23" s="77">
        <f t="shared" si="2"/>
        <v>0</v>
      </c>
      <c r="S23" s="103">
        <f>'Table 4 Formula'!BA23</f>
        <v>16025903.8948</v>
      </c>
      <c r="T23" s="103">
        <f>'Table 4 Formula'!BB23</f>
        <v>3145.42</v>
      </c>
    </row>
    <row r="24" spans="1:20" ht="12.75">
      <c r="A24" s="76">
        <v>17</v>
      </c>
      <c r="B24" s="77" t="s">
        <v>23</v>
      </c>
      <c r="C24" s="104">
        <f>'Table 4 Formula'!C24</f>
        <v>54678</v>
      </c>
      <c r="D24" s="104">
        <f>'Table 4 Formula'!U24</f>
        <v>71718.91</v>
      </c>
      <c r="E24" s="305">
        <f>'Table 4 Formula'!V24</f>
        <v>3020</v>
      </c>
      <c r="F24" s="103">
        <f>'Table 4 Formula'!W24</f>
        <v>216591108</v>
      </c>
      <c r="G24" s="103">
        <f>'Table 4 Formula'!AA24</f>
        <v>103822008.24425812</v>
      </c>
      <c r="H24" s="103">
        <f>'Table 4 Formula'!AC24</f>
        <v>112769099.75574188</v>
      </c>
      <c r="I24" s="103">
        <f>'Table 4 Formula'!AF24</f>
        <v>38274110.75574188</v>
      </c>
      <c r="J24" s="105">
        <f>'Table 4 Formula'!AG24</f>
        <v>0</v>
      </c>
      <c r="K24" s="103">
        <f>'Table 4 Formula'!AI24</f>
        <v>38274110.75574188</v>
      </c>
      <c r="L24" s="77">
        <f t="shared" si="0"/>
        <v>1</v>
      </c>
      <c r="M24" s="103">
        <f>'Table 4 Formula'!AJ24</f>
        <v>6822915.369913389</v>
      </c>
      <c r="N24" s="103">
        <f>'Table 4 Formula'!AN24</f>
        <v>119592015.12565526</v>
      </c>
      <c r="O24" s="105">
        <f>'Table 4 Formula'!AU24</f>
        <v>-1951708.9</v>
      </c>
      <c r="P24" s="77">
        <f t="shared" si="1"/>
        <v>0</v>
      </c>
      <c r="Q24" s="103">
        <f>'Table 4 Formula'!AV24</f>
        <v>20818354.879099995</v>
      </c>
      <c r="R24" s="77">
        <f t="shared" si="2"/>
        <v>1</v>
      </c>
      <c r="S24" s="103">
        <f>'Table 4 Formula'!BA24</f>
        <v>140410370.1</v>
      </c>
      <c r="T24" s="103">
        <f>'Table 4 Formula'!BB24</f>
        <v>2567.95</v>
      </c>
    </row>
    <row r="25" spans="1:20" ht="12.75">
      <c r="A25" s="76">
        <v>18</v>
      </c>
      <c r="B25" s="77" t="s">
        <v>24</v>
      </c>
      <c r="C25" s="104">
        <f>'Table 4 Formula'!C25</f>
        <v>1911</v>
      </c>
      <c r="D25" s="104">
        <f>'Table 4 Formula'!U25</f>
        <v>2743.75</v>
      </c>
      <c r="E25" s="305">
        <f>'Table 4 Formula'!V25</f>
        <v>3020</v>
      </c>
      <c r="F25" s="103">
        <f>'Table 4 Formula'!W25</f>
        <v>8286125</v>
      </c>
      <c r="G25" s="103">
        <f>'Table 4 Formula'!AA25</f>
        <v>1267885.983730394</v>
      </c>
      <c r="H25" s="103">
        <f>'Table 4 Formula'!AC25</f>
        <v>7018239.016269606</v>
      </c>
      <c r="I25" s="103">
        <f>'Table 4 Formula'!AF25</f>
        <v>187713.01626960607</v>
      </c>
      <c r="J25" s="105">
        <f>'Table 4 Formula'!AG25</f>
        <v>0</v>
      </c>
      <c r="K25" s="103">
        <f>'Table 4 Formula'!AI25</f>
        <v>187713.01626960607</v>
      </c>
      <c r="L25" s="77">
        <f t="shared" si="0"/>
        <v>1</v>
      </c>
      <c r="M25" s="103">
        <f>'Table 4 Formula'!AJ25</f>
        <v>138474.29579059806</v>
      </c>
      <c r="N25" s="103">
        <f>'Table 4 Formula'!AN25</f>
        <v>7156713.312060203</v>
      </c>
      <c r="O25" s="105">
        <f>'Table 4 Formula'!AU25</f>
        <v>490634.3074</v>
      </c>
      <c r="P25" s="77">
        <f t="shared" si="1"/>
        <v>1</v>
      </c>
      <c r="Q25" s="103">
        <f>'Table 4 Formula'!AV25</f>
        <v>0</v>
      </c>
      <c r="R25" s="77">
        <f t="shared" si="2"/>
        <v>0</v>
      </c>
      <c r="S25" s="103">
        <f>'Table 4 Formula'!BA25</f>
        <v>7156713.3074</v>
      </c>
      <c r="T25" s="103">
        <f>'Table 4 Formula'!BB25</f>
        <v>3745.01</v>
      </c>
    </row>
    <row r="26" spans="1:20" ht="12.75">
      <c r="A26" s="76">
        <v>19</v>
      </c>
      <c r="B26" s="77" t="s">
        <v>25</v>
      </c>
      <c r="C26" s="104">
        <f>'Table 4 Formula'!C26</f>
        <v>2660</v>
      </c>
      <c r="D26" s="104">
        <f>'Table 4 Formula'!U26</f>
        <v>3921.51</v>
      </c>
      <c r="E26" s="305">
        <f>'Table 4 Formula'!V26</f>
        <v>3020</v>
      </c>
      <c r="F26" s="103">
        <f>'Table 4 Formula'!W26</f>
        <v>11842960</v>
      </c>
      <c r="G26" s="103">
        <f>'Table 4 Formula'!AA26</f>
        <v>2485678.8085930636</v>
      </c>
      <c r="H26" s="103">
        <f>'Table 4 Formula'!AC26</f>
        <v>9357281.191406935</v>
      </c>
      <c r="I26" s="103">
        <f>'Table 4 Formula'!AF26</f>
        <v>1394442.1914069364</v>
      </c>
      <c r="J26" s="105">
        <f>'Table 4 Formula'!AG26</f>
        <v>0</v>
      </c>
      <c r="K26" s="103">
        <f>'Table 4 Formula'!AI26</f>
        <v>1394442.1914069364</v>
      </c>
      <c r="L26" s="77">
        <f t="shared" si="0"/>
        <v>1</v>
      </c>
      <c r="M26" s="103">
        <f>'Table 4 Formula'!AJ26</f>
        <v>892715.4709268714</v>
      </c>
      <c r="N26" s="103">
        <f>'Table 4 Formula'!AN26</f>
        <v>10249996.662333807</v>
      </c>
      <c r="O26" s="105">
        <f>'Table 4 Formula'!AU26</f>
        <v>284902.652</v>
      </c>
      <c r="P26" s="77">
        <f t="shared" si="1"/>
        <v>1</v>
      </c>
      <c r="Q26" s="103">
        <f>'Table 4 Formula'!AV26</f>
        <v>0</v>
      </c>
      <c r="R26" s="77">
        <f t="shared" si="2"/>
        <v>0</v>
      </c>
      <c r="S26" s="103">
        <f>'Table 4 Formula'!BA26</f>
        <v>10249996.652</v>
      </c>
      <c r="T26" s="103">
        <f>'Table 4 Formula'!BB26</f>
        <v>3853.38</v>
      </c>
    </row>
    <row r="27" spans="1:20" ht="12.75">
      <c r="A27" s="115">
        <v>20</v>
      </c>
      <c r="B27" s="116" t="s">
        <v>26</v>
      </c>
      <c r="C27" s="130">
        <f>'Table 4 Formula'!C27</f>
        <v>6340</v>
      </c>
      <c r="D27" s="130">
        <f>'Table 4 Formula'!U27</f>
        <v>8925.7</v>
      </c>
      <c r="E27" s="306">
        <f>'Table 4 Formula'!V27</f>
        <v>3020</v>
      </c>
      <c r="F27" s="129">
        <f>'Table 4 Formula'!W27</f>
        <v>26955614</v>
      </c>
      <c r="G27" s="129">
        <f>'Table 4 Formula'!AA27</f>
        <v>5461067.582470744</v>
      </c>
      <c r="H27" s="129">
        <f>'Table 4 Formula'!AC27</f>
        <v>21494546.417529255</v>
      </c>
      <c r="I27" s="129">
        <f>'Table 4 Formula'!AF27</f>
        <v>200475.41752925608</v>
      </c>
      <c r="J27" s="131">
        <f>'Table 4 Formula'!AG27</f>
        <v>0</v>
      </c>
      <c r="K27" s="129">
        <f>'Table 4 Formula'!AI27</f>
        <v>200475.41752925608</v>
      </c>
      <c r="L27" s="116">
        <f t="shared" si="0"/>
        <v>1</v>
      </c>
      <c r="M27" s="129">
        <f>'Table 4 Formula'!AJ27</f>
        <v>130849.22285504162</v>
      </c>
      <c r="N27" s="129">
        <f>'Table 4 Formula'!AN27</f>
        <v>21625395.640384298</v>
      </c>
      <c r="O27" s="131">
        <f>'Table 4 Formula'!AU27</f>
        <v>-507582.3888</v>
      </c>
      <c r="P27" s="116">
        <f t="shared" si="1"/>
        <v>0</v>
      </c>
      <c r="Q27" s="129">
        <f>'Table 4 Formula'!AV27</f>
        <v>0</v>
      </c>
      <c r="R27" s="116">
        <f t="shared" si="2"/>
        <v>0</v>
      </c>
      <c r="S27" s="129">
        <f>'Table 4 Formula'!BA27</f>
        <v>21625395.6112</v>
      </c>
      <c r="T27" s="129">
        <f>'Table 4 Formula'!BB27</f>
        <v>3410.95</v>
      </c>
    </row>
    <row r="28" spans="1:20" ht="12.75">
      <c r="A28" s="76">
        <v>21</v>
      </c>
      <c r="B28" s="77" t="s">
        <v>27</v>
      </c>
      <c r="C28" s="104">
        <f>'Table 4 Formula'!C28</f>
        <v>4008</v>
      </c>
      <c r="D28" s="104">
        <f>'Table 4 Formula'!U28</f>
        <v>5627.24</v>
      </c>
      <c r="E28" s="305">
        <f>'Table 4 Formula'!V28</f>
        <v>3020</v>
      </c>
      <c r="F28" s="103">
        <f>'Table 4 Formula'!W28</f>
        <v>16994265</v>
      </c>
      <c r="G28" s="103">
        <f>'Table 4 Formula'!AA28</f>
        <v>2962424.597179936</v>
      </c>
      <c r="H28" s="103">
        <f>'Table 4 Formula'!AC28</f>
        <v>14031840.402820064</v>
      </c>
      <c r="I28" s="103">
        <f>'Table 4 Formula'!AF28</f>
        <v>0</v>
      </c>
      <c r="J28" s="105">
        <f>'Table 4 Formula'!AG28</f>
        <v>-33101.59717993578</v>
      </c>
      <c r="K28" s="103">
        <f>'Table 4 Formula'!AI28</f>
        <v>0</v>
      </c>
      <c r="L28" s="77">
        <f t="shared" si="0"/>
        <v>0</v>
      </c>
      <c r="M28" s="103">
        <f>'Table 4 Formula'!AJ28</f>
        <v>0</v>
      </c>
      <c r="N28" s="103">
        <f>'Table 4 Formula'!AN28</f>
        <v>14031840.402820064</v>
      </c>
      <c r="O28" s="105">
        <f>'Table 4 Formula'!AU28</f>
        <v>329732.3854</v>
      </c>
      <c r="P28" s="77">
        <f t="shared" si="1"/>
        <v>1</v>
      </c>
      <c r="Q28" s="103">
        <f>'Table 4 Formula'!AV28</f>
        <v>0</v>
      </c>
      <c r="R28" s="77">
        <f t="shared" si="2"/>
        <v>0</v>
      </c>
      <c r="S28" s="103">
        <f>'Table 4 Formula'!BA28</f>
        <v>14031840.3854</v>
      </c>
      <c r="T28" s="103">
        <f>'Table 4 Formula'!BB28</f>
        <v>3500.96</v>
      </c>
    </row>
    <row r="29" spans="1:20" ht="12.75">
      <c r="A29" s="76">
        <v>22</v>
      </c>
      <c r="B29" s="77" t="s">
        <v>28</v>
      </c>
      <c r="C29" s="104">
        <f>'Table 4 Formula'!C29</f>
        <v>3617</v>
      </c>
      <c r="D29" s="104">
        <f>'Table 4 Formula'!U29</f>
        <v>5139.360000000001</v>
      </c>
      <c r="E29" s="305">
        <f>'Table 4 Formula'!V29</f>
        <v>3020</v>
      </c>
      <c r="F29" s="103">
        <f>'Table 4 Formula'!W29</f>
        <v>15520867</v>
      </c>
      <c r="G29" s="103">
        <f>'Table 4 Formula'!AA29</f>
        <v>1944164.6230628018</v>
      </c>
      <c r="H29" s="103">
        <f>'Table 4 Formula'!AC29</f>
        <v>13576702.376937198</v>
      </c>
      <c r="I29" s="103">
        <f>'Table 4 Formula'!AF29</f>
        <v>806893.3769371982</v>
      </c>
      <c r="J29" s="105">
        <f>'Table 4 Formula'!AG29</f>
        <v>0</v>
      </c>
      <c r="K29" s="103">
        <f>'Table 4 Formula'!AI29</f>
        <v>806893.3769371982</v>
      </c>
      <c r="L29" s="77">
        <f t="shared" si="0"/>
        <v>1</v>
      </c>
      <c r="M29" s="103">
        <f>'Table 4 Formula'!AJ29</f>
        <v>633626.5784348807</v>
      </c>
      <c r="N29" s="103">
        <f>'Table 4 Formula'!AN29</f>
        <v>14210328.955372078</v>
      </c>
      <c r="O29" s="105">
        <f>'Table 4 Formula'!AU29</f>
        <v>540468.971</v>
      </c>
      <c r="P29" s="77">
        <f t="shared" si="1"/>
        <v>1</v>
      </c>
      <c r="Q29" s="103">
        <f>'Table 4 Formula'!AV29</f>
        <v>0</v>
      </c>
      <c r="R29" s="77">
        <f t="shared" si="2"/>
        <v>0</v>
      </c>
      <c r="S29" s="103">
        <f>'Table 4 Formula'!BA29</f>
        <v>14210328.971</v>
      </c>
      <c r="T29" s="103">
        <f>'Table 4 Formula'!BB29</f>
        <v>3928.76</v>
      </c>
    </row>
    <row r="30" spans="1:20" ht="12.75">
      <c r="A30" s="76">
        <v>23</v>
      </c>
      <c r="B30" s="77" t="s">
        <v>29</v>
      </c>
      <c r="C30" s="104">
        <f>'Table 4 Formula'!C30</f>
        <v>14663</v>
      </c>
      <c r="D30" s="104">
        <f>'Table 4 Formula'!U30</f>
        <v>20338.489999999998</v>
      </c>
      <c r="E30" s="305">
        <f>'Table 4 Formula'!V30</f>
        <v>3020</v>
      </c>
      <c r="F30" s="103">
        <f>'Table 4 Formula'!W30</f>
        <v>61422240</v>
      </c>
      <c r="G30" s="103">
        <f>'Table 4 Formula'!AA30</f>
        <v>16274597.587805051</v>
      </c>
      <c r="H30" s="103">
        <f>'Table 4 Formula'!AC30</f>
        <v>45147642.41219495</v>
      </c>
      <c r="I30" s="103">
        <f>'Table 4 Formula'!AF30</f>
        <v>9673627.412194949</v>
      </c>
      <c r="J30" s="105">
        <f>'Table 4 Formula'!AG30</f>
        <v>0</v>
      </c>
      <c r="K30" s="103">
        <f>'Table 4 Formula'!AI30</f>
        <v>9673627.412194949</v>
      </c>
      <c r="L30" s="77">
        <f t="shared" si="0"/>
        <v>1</v>
      </c>
      <c r="M30" s="103">
        <f>'Table 4 Formula'!AJ30</f>
        <v>5279657.6457668375</v>
      </c>
      <c r="N30" s="103">
        <f>'Table 4 Formula'!AN30</f>
        <v>50427300.05796179</v>
      </c>
      <c r="O30" s="105">
        <f>'Table 4 Formula'!AU30</f>
        <v>876024.1291</v>
      </c>
      <c r="P30" s="77">
        <f t="shared" si="1"/>
        <v>1</v>
      </c>
      <c r="Q30" s="103">
        <f>'Table 4 Formula'!AV30</f>
        <v>0</v>
      </c>
      <c r="R30" s="77">
        <f t="shared" si="2"/>
        <v>0</v>
      </c>
      <c r="S30" s="103">
        <f>'Table 4 Formula'!BA30</f>
        <v>50427300.1291</v>
      </c>
      <c r="T30" s="103">
        <f>'Table 4 Formula'!BB30</f>
        <v>3439.08</v>
      </c>
    </row>
    <row r="31" spans="1:20" ht="12.75">
      <c r="A31" s="76">
        <v>24</v>
      </c>
      <c r="B31" s="77" t="s">
        <v>30</v>
      </c>
      <c r="C31" s="104">
        <f>'Table 4 Formula'!C31</f>
        <v>5071</v>
      </c>
      <c r="D31" s="104">
        <f>'Table 4 Formula'!U31</f>
        <v>7231.55</v>
      </c>
      <c r="E31" s="305">
        <f>'Table 4 Formula'!V31</f>
        <v>3020</v>
      </c>
      <c r="F31" s="103">
        <f>'Table 4 Formula'!W31</f>
        <v>21839281</v>
      </c>
      <c r="G31" s="103">
        <f>'Table 4 Formula'!AA31</f>
        <v>12334590.089142608</v>
      </c>
      <c r="H31" s="103">
        <f>'Table 4 Formula'!AC31</f>
        <v>9504690.910857392</v>
      </c>
      <c r="I31" s="103">
        <f>'Table 4 Formula'!AF31</f>
        <v>3737311.9108573925</v>
      </c>
      <c r="J31" s="105">
        <f>'Table 4 Formula'!AG31</f>
        <v>0</v>
      </c>
      <c r="K31" s="103">
        <f>'Table 4 Formula'!AI31</f>
        <v>3737311.9108573925</v>
      </c>
      <c r="L31" s="77">
        <f t="shared" si="0"/>
        <v>1</v>
      </c>
      <c r="M31" s="103">
        <f>'Table 4 Formula'!AJ31</f>
        <v>118810.49855306809</v>
      </c>
      <c r="N31" s="103">
        <f>'Table 4 Formula'!AN31</f>
        <v>9623501.40941046</v>
      </c>
      <c r="O31" s="105">
        <f>'Table 4 Formula'!AU31</f>
        <v>-483058.65</v>
      </c>
      <c r="P31" s="77">
        <f t="shared" si="1"/>
        <v>0</v>
      </c>
      <c r="Q31" s="103">
        <f>'Table 4 Formula'!AV31</f>
        <v>3337213.9438000005</v>
      </c>
      <c r="R31" s="77">
        <f t="shared" si="2"/>
        <v>1</v>
      </c>
      <c r="S31" s="103">
        <f>'Table 4 Formula'!BA31</f>
        <v>12960715.35</v>
      </c>
      <c r="T31" s="103">
        <f>'Table 4 Formula'!BB31</f>
        <v>2555.85</v>
      </c>
    </row>
    <row r="32" spans="1:20" ht="12.75">
      <c r="A32" s="115">
        <v>25</v>
      </c>
      <c r="B32" s="116" t="s">
        <v>31</v>
      </c>
      <c r="C32" s="130">
        <f>'Table 4 Formula'!C32</f>
        <v>2682</v>
      </c>
      <c r="D32" s="130">
        <f>'Table 4 Formula'!U32</f>
        <v>3825.34</v>
      </c>
      <c r="E32" s="306">
        <f>'Table 4 Formula'!V32</f>
        <v>3020</v>
      </c>
      <c r="F32" s="129">
        <f>'Table 4 Formula'!W32</f>
        <v>11552527</v>
      </c>
      <c r="G32" s="129">
        <f>'Table 4 Formula'!AA32</f>
        <v>2581445.7592113046</v>
      </c>
      <c r="H32" s="129">
        <f>'Table 4 Formula'!AC32</f>
        <v>8971081.240788694</v>
      </c>
      <c r="I32" s="129">
        <f>'Table 4 Formula'!AF32</f>
        <v>1711459.2407886954</v>
      </c>
      <c r="J32" s="131">
        <f>'Table 4 Formula'!AG32</f>
        <v>0</v>
      </c>
      <c r="K32" s="129">
        <f>'Table 4 Formula'!AI32</f>
        <v>1711459.2407886954</v>
      </c>
      <c r="L32" s="116">
        <f t="shared" si="0"/>
        <v>1</v>
      </c>
      <c r="M32" s="129">
        <f>'Table 4 Formula'!AJ32</f>
        <v>1055864.3198208213</v>
      </c>
      <c r="N32" s="129">
        <f>'Table 4 Formula'!AN32</f>
        <v>10026945.560609516</v>
      </c>
      <c r="O32" s="131">
        <f>'Table 4 Formula'!AU32</f>
        <v>479859.5564</v>
      </c>
      <c r="P32" s="116">
        <f t="shared" si="1"/>
        <v>1</v>
      </c>
      <c r="Q32" s="129">
        <f>'Table 4 Formula'!AV32</f>
        <v>0</v>
      </c>
      <c r="R32" s="116">
        <f t="shared" si="2"/>
        <v>0</v>
      </c>
      <c r="S32" s="129">
        <f>'Table 4 Formula'!BA32</f>
        <v>10026945.5564</v>
      </c>
      <c r="T32" s="129">
        <f>'Table 4 Formula'!BB32</f>
        <v>3738.61</v>
      </c>
    </row>
    <row r="33" spans="1:20" ht="12.75">
      <c r="A33" s="76">
        <v>26</v>
      </c>
      <c r="B33" s="77" t="s">
        <v>32</v>
      </c>
      <c r="C33" s="104">
        <f>'Table 4 Formula'!C33</f>
        <v>51371</v>
      </c>
      <c r="D33" s="104">
        <f>'Table 4 Formula'!U33</f>
        <v>71060.83</v>
      </c>
      <c r="E33" s="305">
        <f>'Table 4 Formula'!V33</f>
        <v>3020</v>
      </c>
      <c r="F33" s="103">
        <f>'Table 4 Formula'!W33</f>
        <v>214603707</v>
      </c>
      <c r="G33" s="103">
        <f>'Table 4 Formula'!AA33</f>
        <v>121757836.4838431</v>
      </c>
      <c r="H33" s="103">
        <f>'Table 4 Formula'!AC33</f>
        <v>92845870.5161569</v>
      </c>
      <c r="I33" s="103">
        <f>'Table 4 Formula'!AF33</f>
        <v>35981212.5161569</v>
      </c>
      <c r="J33" s="105">
        <f>'Table 4 Formula'!AG33</f>
        <v>0</v>
      </c>
      <c r="K33" s="103">
        <f>'Table 4 Formula'!AI33</f>
        <v>35981212.5161569</v>
      </c>
      <c r="L33" s="77">
        <f t="shared" si="0"/>
        <v>1</v>
      </c>
      <c r="M33" s="103">
        <f>'Table 4 Formula'!AJ33</f>
        <v>985189.6341423385</v>
      </c>
      <c r="N33" s="103">
        <f>'Table 4 Formula'!AN33</f>
        <v>93831060.15029924</v>
      </c>
      <c r="O33" s="105">
        <f>'Table 4 Formula'!AU33</f>
        <v>-4034146.97</v>
      </c>
      <c r="P33" s="77">
        <f t="shared" si="1"/>
        <v>0</v>
      </c>
      <c r="Q33" s="103">
        <f>'Table 4 Formula'!AV33</f>
        <v>29455744.06269999</v>
      </c>
      <c r="R33" s="77">
        <f t="shared" si="2"/>
        <v>1</v>
      </c>
      <c r="S33" s="103">
        <f>'Table 4 Formula'!BA33</f>
        <v>123286804.02999999</v>
      </c>
      <c r="T33" s="103">
        <f>'Table 4 Formula'!BB33</f>
        <v>2399.93</v>
      </c>
    </row>
    <row r="34" spans="1:20" ht="12.75">
      <c r="A34" s="76">
        <v>27</v>
      </c>
      <c r="B34" s="77" t="s">
        <v>33</v>
      </c>
      <c r="C34" s="104">
        <f>'Table 4 Formula'!C34</f>
        <v>5962</v>
      </c>
      <c r="D34" s="104">
        <f>'Table 4 Formula'!U34</f>
        <v>8502.85</v>
      </c>
      <c r="E34" s="305">
        <f>'Table 4 Formula'!V34</f>
        <v>3020</v>
      </c>
      <c r="F34" s="103">
        <f>'Table 4 Formula'!W34</f>
        <v>25678607</v>
      </c>
      <c r="G34" s="103">
        <f>'Table 4 Formula'!AA34</f>
        <v>6138269.985001048</v>
      </c>
      <c r="H34" s="103">
        <f>'Table 4 Formula'!AC34</f>
        <v>19540337.01499895</v>
      </c>
      <c r="I34" s="103">
        <f>'Table 4 Formula'!AF34</f>
        <v>3244073.014998952</v>
      </c>
      <c r="J34" s="105">
        <f>'Table 4 Formula'!AG34</f>
        <v>0</v>
      </c>
      <c r="K34" s="103">
        <f>'Table 4 Formula'!AI34</f>
        <v>3244073.014998952</v>
      </c>
      <c r="L34" s="77">
        <f t="shared" si="0"/>
        <v>1</v>
      </c>
      <c r="M34" s="103">
        <f>'Table 4 Formula'!AJ34</f>
        <v>1914696.5643377982</v>
      </c>
      <c r="N34" s="103">
        <f>'Table 4 Formula'!AN34</f>
        <v>21455033.579336748</v>
      </c>
      <c r="O34" s="105">
        <f>'Table 4 Formula'!AU34</f>
        <v>1331294.5505</v>
      </c>
      <c r="P34" s="77">
        <f t="shared" si="1"/>
        <v>1</v>
      </c>
      <c r="Q34" s="103">
        <f>'Table 4 Formula'!AV34</f>
        <v>0</v>
      </c>
      <c r="R34" s="77">
        <f t="shared" si="2"/>
        <v>0</v>
      </c>
      <c r="S34" s="103">
        <f>'Table 4 Formula'!BA34</f>
        <v>21455033.5505</v>
      </c>
      <c r="T34" s="103">
        <f>'Table 4 Formula'!BB34</f>
        <v>3598.63</v>
      </c>
    </row>
    <row r="35" spans="1:20" ht="12.75">
      <c r="A35" s="76">
        <v>28</v>
      </c>
      <c r="B35" s="77" t="s">
        <v>34</v>
      </c>
      <c r="C35" s="104">
        <f>'Table 4 Formula'!C35</f>
        <v>29767</v>
      </c>
      <c r="D35" s="104">
        <f>'Table 4 Formula'!U35</f>
        <v>37975.68</v>
      </c>
      <c r="E35" s="305">
        <f>'Table 4 Formula'!V35</f>
        <v>3020</v>
      </c>
      <c r="F35" s="103">
        <f>'Table 4 Formula'!W35</f>
        <v>114686554</v>
      </c>
      <c r="G35" s="103">
        <f>'Table 4 Formula'!AA35</f>
        <v>53911953.93858979</v>
      </c>
      <c r="H35" s="103">
        <f>'Table 4 Formula'!AC35</f>
        <v>60774600.06141021</v>
      </c>
      <c r="I35" s="103">
        <f>'Table 4 Formula'!AF35</f>
        <v>15192416.061410211</v>
      </c>
      <c r="J35" s="105">
        <f>'Table 4 Formula'!AG35</f>
        <v>0</v>
      </c>
      <c r="K35" s="103">
        <f>'Table 4 Formula'!AI35</f>
        <v>15192416.061410211</v>
      </c>
      <c r="L35" s="77">
        <f t="shared" si="0"/>
        <v>1</v>
      </c>
      <c r="M35" s="103">
        <f>'Table 4 Formula'!AJ35</f>
        <v>2949562.2137684333</v>
      </c>
      <c r="N35" s="103">
        <f>'Table 4 Formula'!AN35</f>
        <v>63724162.27517864</v>
      </c>
      <c r="O35" s="105">
        <f>'Table 4 Formula'!AU35</f>
        <v>-1677814.16</v>
      </c>
      <c r="P35" s="77">
        <f t="shared" si="1"/>
        <v>0</v>
      </c>
      <c r="Q35" s="103">
        <f>'Table 4 Formula'!AV35</f>
        <v>6422368.666500002</v>
      </c>
      <c r="R35" s="77">
        <f t="shared" si="2"/>
        <v>1</v>
      </c>
      <c r="S35" s="103">
        <f>'Table 4 Formula'!BA35</f>
        <v>70146530.84</v>
      </c>
      <c r="T35" s="103">
        <f>'Table 4 Formula'!BB35</f>
        <v>2356.52</v>
      </c>
    </row>
    <row r="36" spans="1:20" ht="12.75">
      <c r="A36" s="76">
        <v>29</v>
      </c>
      <c r="B36" s="77" t="s">
        <v>35</v>
      </c>
      <c r="C36" s="104">
        <f>'Table 4 Formula'!C36</f>
        <v>15351</v>
      </c>
      <c r="D36" s="104">
        <f>'Table 4 Formula'!U36</f>
        <v>20499.08</v>
      </c>
      <c r="E36" s="305">
        <f>'Table 4 Formula'!V36</f>
        <v>3020</v>
      </c>
      <c r="F36" s="103">
        <f>'Table 4 Formula'!W36</f>
        <v>61907222</v>
      </c>
      <c r="G36" s="103">
        <f>'Table 4 Formula'!AA36</f>
        <v>17557211.296156447</v>
      </c>
      <c r="H36" s="103">
        <f>'Table 4 Formula'!AC36</f>
        <v>44350010.70384355</v>
      </c>
      <c r="I36" s="103">
        <f>'Table 4 Formula'!AF36</f>
        <v>11466907.703843553</v>
      </c>
      <c r="J36" s="105">
        <f>'Table 4 Formula'!AG36</f>
        <v>0</v>
      </c>
      <c r="K36" s="103">
        <f>'Table 4 Formula'!AI36</f>
        <v>11466907.703843553</v>
      </c>
      <c r="L36" s="77">
        <f t="shared" si="0"/>
        <v>1</v>
      </c>
      <c r="M36" s="103">
        <f>'Table 4 Formula'!AJ36</f>
        <v>5891921.70028766</v>
      </c>
      <c r="N36" s="103">
        <f>'Table 4 Formula'!AN36</f>
        <v>50241932.40413121</v>
      </c>
      <c r="O36" s="105">
        <f>'Table 4 Formula'!AU36</f>
        <v>-228049.6292</v>
      </c>
      <c r="P36" s="77">
        <f t="shared" si="1"/>
        <v>0</v>
      </c>
      <c r="Q36" s="103">
        <f>'Table 4 Formula'!AV36</f>
        <v>0</v>
      </c>
      <c r="R36" s="77">
        <f t="shared" si="2"/>
        <v>0</v>
      </c>
      <c r="S36" s="103">
        <f>'Table 4 Formula'!BA36</f>
        <v>50241932.3708</v>
      </c>
      <c r="T36" s="103">
        <f>'Table 4 Formula'!BB36</f>
        <v>3272.88</v>
      </c>
    </row>
    <row r="37" spans="1:20" ht="12.75">
      <c r="A37" s="115">
        <v>30</v>
      </c>
      <c r="B37" s="116" t="s">
        <v>36</v>
      </c>
      <c r="C37" s="130">
        <f>'Table 4 Formula'!C37</f>
        <v>2615</v>
      </c>
      <c r="D37" s="130">
        <f>'Table 4 Formula'!U37</f>
        <v>3561.75</v>
      </c>
      <c r="E37" s="306">
        <f>'Table 4 Formula'!V37</f>
        <v>3020</v>
      </c>
      <c r="F37" s="129">
        <f>'Table 4 Formula'!W37</f>
        <v>10756485</v>
      </c>
      <c r="G37" s="129">
        <f>'Table 4 Formula'!AA37</f>
        <v>2490979.949671899</v>
      </c>
      <c r="H37" s="129">
        <f>'Table 4 Formula'!AC37</f>
        <v>8265505.050328101</v>
      </c>
      <c r="I37" s="129">
        <f>'Table 4 Formula'!AF37</f>
        <v>1578138.050328101</v>
      </c>
      <c r="J37" s="131">
        <f>'Table 4 Formula'!AG37</f>
        <v>0</v>
      </c>
      <c r="K37" s="129">
        <f>'Table 4 Formula'!AI37</f>
        <v>1578138.050328101</v>
      </c>
      <c r="L37" s="116">
        <f t="shared" si="0"/>
        <v>1</v>
      </c>
      <c r="M37" s="129">
        <f>'Table 4 Formula'!AJ37</f>
        <v>951626.2271096273</v>
      </c>
      <c r="N37" s="129">
        <f>'Table 4 Formula'!AN37</f>
        <v>9217131.277437728</v>
      </c>
      <c r="O37" s="131">
        <f>'Table 4 Formula'!AU37</f>
        <v>-310050.7321</v>
      </c>
      <c r="P37" s="116">
        <f t="shared" si="1"/>
        <v>0</v>
      </c>
      <c r="Q37" s="129">
        <f>'Table 4 Formula'!AV37</f>
        <v>0</v>
      </c>
      <c r="R37" s="116">
        <f t="shared" si="2"/>
        <v>0</v>
      </c>
      <c r="S37" s="129">
        <f>'Table 4 Formula'!BA37</f>
        <v>9217131.2679</v>
      </c>
      <c r="T37" s="129">
        <f>'Table 4 Formula'!BB37</f>
        <v>3524.72</v>
      </c>
    </row>
    <row r="38" spans="1:20" ht="12.75">
      <c r="A38" s="76">
        <v>31</v>
      </c>
      <c r="B38" s="77" t="s">
        <v>37</v>
      </c>
      <c r="C38" s="104">
        <f>'Table 4 Formula'!C38</f>
        <v>6755</v>
      </c>
      <c r="D38" s="104">
        <f>'Table 4 Formula'!U38</f>
        <v>8730.85</v>
      </c>
      <c r="E38" s="305">
        <f>'Table 4 Formula'!V38</f>
        <v>3020</v>
      </c>
      <c r="F38" s="103">
        <f>'Table 4 Formula'!W38</f>
        <v>26367167</v>
      </c>
      <c r="G38" s="103">
        <f>'Table 4 Formula'!AA38</f>
        <v>8859151.500549313</v>
      </c>
      <c r="H38" s="103">
        <f>'Table 4 Formula'!AC38</f>
        <v>17508015.499450687</v>
      </c>
      <c r="I38" s="103">
        <f>'Table 4 Formula'!AF38</f>
        <v>3856862.4994506873</v>
      </c>
      <c r="J38" s="105">
        <f>'Table 4 Formula'!AG38</f>
        <v>0</v>
      </c>
      <c r="K38" s="103">
        <f>'Table 4 Formula'!AI38</f>
        <v>3856862.4994506873</v>
      </c>
      <c r="L38" s="77">
        <f t="shared" si="0"/>
        <v>1</v>
      </c>
      <c r="M38" s="103">
        <f>'Table 4 Formula'!AJ38</f>
        <v>1635363.0633166337</v>
      </c>
      <c r="N38" s="103">
        <f>'Table 4 Formula'!AN38</f>
        <v>19143378.56276732</v>
      </c>
      <c r="O38" s="105">
        <f>'Table 4 Formula'!AU38</f>
        <v>911956.5893</v>
      </c>
      <c r="P38" s="77">
        <f t="shared" si="1"/>
        <v>1</v>
      </c>
      <c r="Q38" s="103">
        <f>'Table 4 Formula'!AV38</f>
        <v>0</v>
      </c>
      <c r="R38" s="77">
        <f t="shared" si="2"/>
        <v>0</v>
      </c>
      <c r="S38" s="103">
        <f>'Table 4 Formula'!BA38</f>
        <v>19143378.5893</v>
      </c>
      <c r="T38" s="103">
        <f>'Table 4 Formula'!BB38</f>
        <v>2833.96</v>
      </c>
    </row>
    <row r="39" spans="1:20" ht="12.75">
      <c r="A39" s="76">
        <v>32</v>
      </c>
      <c r="B39" s="77" t="s">
        <v>38</v>
      </c>
      <c r="C39" s="104">
        <f>'Table 4 Formula'!C39</f>
        <v>19428</v>
      </c>
      <c r="D39" s="104">
        <f>'Table 4 Formula'!U39</f>
        <v>23811.58</v>
      </c>
      <c r="E39" s="305">
        <f>'Table 4 Formula'!V39</f>
        <v>3020</v>
      </c>
      <c r="F39" s="103">
        <f>'Table 4 Formula'!W39</f>
        <v>71910972</v>
      </c>
      <c r="G39" s="103">
        <f>'Table 4 Formula'!AA39</f>
        <v>10137608.274510177</v>
      </c>
      <c r="H39" s="103">
        <f>'Table 4 Formula'!AC39</f>
        <v>61773363.725489825</v>
      </c>
      <c r="I39" s="103">
        <f>'Table 4 Formula'!AF39</f>
        <v>11010801.725489823</v>
      </c>
      <c r="J39" s="105">
        <f>'Table 4 Formula'!AG39</f>
        <v>0</v>
      </c>
      <c r="K39" s="103">
        <f>'Table 4 Formula'!AI39</f>
        <v>11010801.725489823</v>
      </c>
      <c r="L39" s="77">
        <f t="shared" si="0"/>
        <v>1</v>
      </c>
      <c r="M39" s="103">
        <f>'Table 4 Formula'!AJ39</f>
        <v>8349817.264558869</v>
      </c>
      <c r="N39" s="103">
        <f>'Table 4 Formula'!AN39</f>
        <v>70123180.99004869</v>
      </c>
      <c r="O39" s="105">
        <f>'Table 4 Formula'!AU39</f>
        <v>4232719.9328</v>
      </c>
      <c r="P39" s="77">
        <f t="shared" si="1"/>
        <v>1</v>
      </c>
      <c r="Q39" s="103">
        <f>'Table 4 Formula'!AV39</f>
        <v>0</v>
      </c>
      <c r="R39" s="77">
        <f t="shared" si="2"/>
        <v>0</v>
      </c>
      <c r="S39" s="103">
        <f>'Table 4 Formula'!BA39</f>
        <v>70123180.9328</v>
      </c>
      <c r="T39" s="103">
        <f>'Table 4 Formula'!BB39</f>
        <v>3609.39</v>
      </c>
    </row>
    <row r="40" spans="1:20" ht="12.75">
      <c r="A40" s="76">
        <v>33</v>
      </c>
      <c r="B40" s="77" t="s">
        <v>39</v>
      </c>
      <c r="C40" s="104">
        <f>'Table 4 Formula'!C40</f>
        <v>2549</v>
      </c>
      <c r="D40" s="104">
        <f>'Table 4 Formula'!U40</f>
        <v>3706.63</v>
      </c>
      <c r="E40" s="305">
        <f>'Table 4 Formula'!V40</f>
        <v>3020</v>
      </c>
      <c r="F40" s="103">
        <f>'Table 4 Formula'!W40</f>
        <v>11194023</v>
      </c>
      <c r="G40" s="103">
        <f>'Table 4 Formula'!AA40</f>
        <v>2043406.1829822198</v>
      </c>
      <c r="H40" s="103">
        <f>'Table 4 Formula'!AC40</f>
        <v>9150616.81701778</v>
      </c>
      <c r="I40" s="103">
        <f>'Table 4 Formula'!AF40</f>
        <v>0</v>
      </c>
      <c r="J40" s="105">
        <f>'Table 4 Formula'!AG40</f>
        <v>-376158.18298221985</v>
      </c>
      <c r="K40" s="103">
        <f>'Table 4 Formula'!AI40</f>
        <v>0</v>
      </c>
      <c r="L40" s="77">
        <f t="shared" si="0"/>
        <v>0</v>
      </c>
      <c r="M40" s="103">
        <f>'Table 4 Formula'!AJ40</f>
        <v>0</v>
      </c>
      <c r="N40" s="103">
        <f>'Table 4 Formula'!AN40</f>
        <v>9150616.81701778</v>
      </c>
      <c r="O40" s="105">
        <f>'Table 4 Formula'!AU40</f>
        <v>567192.814</v>
      </c>
      <c r="P40" s="77">
        <f t="shared" si="1"/>
        <v>1</v>
      </c>
      <c r="Q40" s="103">
        <f>'Table 4 Formula'!AV40</f>
        <v>0</v>
      </c>
      <c r="R40" s="77">
        <f t="shared" si="2"/>
        <v>0</v>
      </c>
      <c r="S40" s="103">
        <f>'Table 4 Formula'!BA40</f>
        <v>9150616.814</v>
      </c>
      <c r="T40" s="103">
        <f>'Table 4 Formula'!BB40</f>
        <v>3589.88</v>
      </c>
    </row>
    <row r="41" spans="1:20" ht="12.75">
      <c r="A41" s="76">
        <v>34</v>
      </c>
      <c r="B41" s="77" t="s">
        <v>40</v>
      </c>
      <c r="C41" s="104">
        <f>'Table 4 Formula'!C41</f>
        <v>5422</v>
      </c>
      <c r="D41" s="104">
        <f>'Table 4 Formula'!U41</f>
        <v>7725.2</v>
      </c>
      <c r="E41" s="305">
        <f>'Table 4 Formula'!V41</f>
        <v>3020</v>
      </c>
      <c r="F41" s="103">
        <f>'Table 4 Formula'!W41</f>
        <v>23330104</v>
      </c>
      <c r="G41" s="103">
        <f>'Table 4 Formula'!AA41</f>
        <v>6205452.763029849</v>
      </c>
      <c r="H41" s="103">
        <f>'Table 4 Formula'!AC41</f>
        <v>17124651.23697015</v>
      </c>
      <c r="I41" s="103">
        <f>'Table 4 Formula'!AF41</f>
        <v>1161487.2369701508</v>
      </c>
      <c r="J41" s="105">
        <f>'Table 4 Formula'!AG41</f>
        <v>0</v>
      </c>
      <c r="K41" s="103">
        <f>'Table 4 Formula'!AI41</f>
        <v>1161487.2369701508</v>
      </c>
      <c r="L41" s="77">
        <f t="shared" si="0"/>
        <v>1</v>
      </c>
      <c r="M41" s="103">
        <f>'Table 4 Formula'!AJ41</f>
        <v>631879.2602258723</v>
      </c>
      <c r="N41" s="103">
        <f>'Table 4 Formula'!AN41</f>
        <v>17756530.497196022</v>
      </c>
      <c r="O41" s="105">
        <f>'Table 4 Formula'!AU41</f>
        <v>514834.5182</v>
      </c>
      <c r="P41" s="77">
        <f t="shared" si="1"/>
        <v>1</v>
      </c>
      <c r="Q41" s="103">
        <f>'Table 4 Formula'!AV41</f>
        <v>0</v>
      </c>
      <c r="R41" s="77">
        <f t="shared" si="2"/>
        <v>0</v>
      </c>
      <c r="S41" s="103">
        <f>'Table 4 Formula'!BA41</f>
        <v>17756530.5182</v>
      </c>
      <c r="T41" s="103">
        <f>'Table 4 Formula'!BB41</f>
        <v>3274.9</v>
      </c>
    </row>
    <row r="42" spans="1:20" ht="12.75">
      <c r="A42" s="115">
        <v>35</v>
      </c>
      <c r="B42" s="116" t="s">
        <v>41</v>
      </c>
      <c r="C42" s="130">
        <f>'Table 4 Formula'!C42</f>
        <v>6825</v>
      </c>
      <c r="D42" s="130">
        <f>'Table 4 Formula'!U42</f>
        <v>9236.11</v>
      </c>
      <c r="E42" s="306">
        <f>'Table 4 Formula'!V42</f>
        <v>3020</v>
      </c>
      <c r="F42" s="129">
        <f>'Table 4 Formula'!W42</f>
        <v>27893052</v>
      </c>
      <c r="G42" s="129">
        <f>'Table 4 Formula'!AA42</f>
        <v>7556750.3646066245</v>
      </c>
      <c r="H42" s="129">
        <f>'Table 4 Formula'!AC42</f>
        <v>20336301.635393374</v>
      </c>
      <c r="I42" s="129">
        <f>'Table 4 Formula'!AF42</f>
        <v>3847363.6353933755</v>
      </c>
      <c r="J42" s="131">
        <f>'Table 4 Formula'!AG42</f>
        <v>0</v>
      </c>
      <c r="K42" s="129">
        <f>'Table 4 Formula'!AI42</f>
        <v>3847363.6353933755</v>
      </c>
      <c r="L42" s="116">
        <f t="shared" si="0"/>
        <v>1</v>
      </c>
      <c r="M42" s="129">
        <f>'Table 4 Formula'!AJ42</f>
        <v>2060523.8856394505</v>
      </c>
      <c r="N42" s="129">
        <f>'Table 4 Formula'!AN42</f>
        <v>22396825.521032825</v>
      </c>
      <c r="O42" s="131">
        <f>'Table 4 Formula'!AU42</f>
        <v>172856.542</v>
      </c>
      <c r="P42" s="116">
        <f t="shared" si="1"/>
        <v>1</v>
      </c>
      <c r="Q42" s="129">
        <f>'Table 4 Formula'!AV42</f>
        <v>0</v>
      </c>
      <c r="R42" s="116">
        <f t="shared" si="2"/>
        <v>0</v>
      </c>
      <c r="S42" s="129">
        <f>'Table 4 Formula'!BA42</f>
        <v>22396825.542</v>
      </c>
      <c r="T42" s="129">
        <f>'Table 4 Formula'!BB42</f>
        <v>3281.59</v>
      </c>
    </row>
    <row r="43" spans="1:20" ht="12.75">
      <c r="A43" s="76">
        <v>36</v>
      </c>
      <c r="B43" s="77" t="s">
        <v>42</v>
      </c>
      <c r="C43" s="104">
        <f>'Table 4 Formula'!C43</f>
        <v>78316</v>
      </c>
      <c r="D43" s="104">
        <f>'Table 4 Formula'!U43</f>
        <v>102520.41</v>
      </c>
      <c r="E43" s="305">
        <f>'Table 4 Formula'!V43</f>
        <v>3020</v>
      </c>
      <c r="F43" s="103">
        <f>'Table 4 Formula'!W43</f>
        <v>309611638</v>
      </c>
      <c r="G43" s="103">
        <f>'Table 4 Formula'!AA43</f>
        <v>106276908.94266672</v>
      </c>
      <c r="H43" s="103">
        <f>'Table 4 Formula'!AC43</f>
        <v>203334729.0573333</v>
      </c>
      <c r="I43" s="103">
        <f>'Table 4 Formula'!AF43</f>
        <v>53904175.057333276</v>
      </c>
      <c r="J43" s="105">
        <f>'Table 4 Formula'!AG43</f>
        <v>0</v>
      </c>
      <c r="K43" s="103">
        <f>'Table 4 Formula'!AI43</f>
        <v>53904175.057333276</v>
      </c>
      <c r="L43" s="77">
        <f t="shared" si="0"/>
        <v>1</v>
      </c>
      <c r="M43" s="103">
        <f>'Table 4 Formula'!AJ43</f>
        <v>22184610.60334958</v>
      </c>
      <c r="N43" s="103">
        <f>'Table 4 Formula'!AN43</f>
        <v>225519339.66068286</v>
      </c>
      <c r="O43" s="105">
        <f>'Table 4 Formula'!AU43</f>
        <v>7032805.4037</v>
      </c>
      <c r="P43" s="77">
        <f t="shared" si="1"/>
        <v>1</v>
      </c>
      <c r="Q43" s="103">
        <f>'Table 4 Formula'!AV43</f>
        <v>0</v>
      </c>
      <c r="R43" s="77">
        <f t="shared" si="2"/>
        <v>0</v>
      </c>
      <c r="S43" s="103">
        <f>'Table 4 Formula'!BA43</f>
        <v>225519339.4037</v>
      </c>
      <c r="T43" s="103">
        <f>'Table 4 Formula'!BB43</f>
        <v>2879.61</v>
      </c>
    </row>
    <row r="44" spans="1:20" ht="12.75">
      <c r="A44" s="76">
        <v>37</v>
      </c>
      <c r="B44" s="77" t="s">
        <v>43</v>
      </c>
      <c r="C44" s="104">
        <f>'Table 4 Formula'!C44</f>
        <v>17146</v>
      </c>
      <c r="D44" s="104">
        <f>'Table 4 Formula'!U44</f>
        <v>21898.16</v>
      </c>
      <c r="E44" s="305">
        <f>'Table 4 Formula'!V44</f>
        <v>3020</v>
      </c>
      <c r="F44" s="103">
        <f>'Table 4 Formula'!W44</f>
        <v>66132443</v>
      </c>
      <c r="G44" s="103">
        <f>'Table 4 Formula'!AA44</f>
        <v>17342394.36340936</v>
      </c>
      <c r="H44" s="103">
        <f>'Table 4 Formula'!AC44</f>
        <v>48790048.636590645</v>
      </c>
      <c r="I44" s="103">
        <f>'Table 4 Formula'!AF44</f>
        <v>19382924.63659064</v>
      </c>
      <c r="J44" s="105">
        <f>'Table 4 Formula'!AG44</f>
        <v>0</v>
      </c>
      <c r="K44" s="103">
        <f>'Table 4 Formula'!AI44</f>
        <v>19382924.63659064</v>
      </c>
      <c r="L44" s="77">
        <f t="shared" si="0"/>
        <v>1</v>
      </c>
      <c r="M44" s="103">
        <f>'Table 4 Formula'!AJ44</f>
        <v>10669340.053717596</v>
      </c>
      <c r="N44" s="103">
        <f>'Table 4 Formula'!AN44</f>
        <v>59459388.69030824</v>
      </c>
      <c r="O44" s="105">
        <f>'Table 4 Formula'!AU44</f>
        <v>5465332.6612</v>
      </c>
      <c r="P44" s="77">
        <f t="shared" si="1"/>
        <v>1</v>
      </c>
      <c r="Q44" s="103">
        <f>'Table 4 Formula'!AV44</f>
        <v>0</v>
      </c>
      <c r="R44" s="77">
        <f t="shared" si="2"/>
        <v>0</v>
      </c>
      <c r="S44" s="103">
        <f>'Table 4 Formula'!BA44</f>
        <v>59459388.6612</v>
      </c>
      <c r="T44" s="103">
        <f>'Table 4 Formula'!BB44</f>
        <v>3467.83</v>
      </c>
    </row>
    <row r="45" spans="1:20" ht="12.75">
      <c r="A45" s="76">
        <v>38</v>
      </c>
      <c r="B45" s="77" t="s">
        <v>44</v>
      </c>
      <c r="C45" s="104">
        <f>'Table 4 Formula'!C45</f>
        <v>4777</v>
      </c>
      <c r="D45" s="104">
        <f>'Table 4 Formula'!U45</f>
        <v>6496.99</v>
      </c>
      <c r="E45" s="305">
        <f>'Table 4 Formula'!V45</f>
        <v>3020</v>
      </c>
      <c r="F45" s="103">
        <f>'Table 4 Formula'!W45</f>
        <v>19620910</v>
      </c>
      <c r="G45" s="103">
        <f>'Table 4 Formula'!AA45</f>
        <v>18287372.622929767</v>
      </c>
      <c r="H45" s="103">
        <f>'Table 4 Formula'!AC45</f>
        <v>1333537.3770702332</v>
      </c>
      <c r="I45" s="103">
        <f>'Table 4 Formula'!AF45</f>
        <v>0</v>
      </c>
      <c r="J45" s="105">
        <f>'Table 4 Formula'!AG45</f>
        <v>-559121.6229297668</v>
      </c>
      <c r="K45" s="103">
        <f>'Table 4 Formula'!AI45</f>
        <v>0</v>
      </c>
      <c r="L45" s="77">
        <f t="shared" si="0"/>
        <v>0</v>
      </c>
      <c r="M45" s="103">
        <f>'Table 4 Formula'!AJ45</f>
        <v>0</v>
      </c>
      <c r="N45" s="103">
        <f>'Table 4 Formula'!AN45</f>
        <v>1333537.3770702332</v>
      </c>
      <c r="O45" s="105">
        <f>'Table 4 Formula'!AU45</f>
        <v>-377658.69</v>
      </c>
      <c r="P45" s="77">
        <f t="shared" si="1"/>
        <v>0</v>
      </c>
      <c r="Q45" s="103">
        <f>'Table 4 Formula'!AV45</f>
        <v>8688751.9262</v>
      </c>
      <c r="R45" s="77">
        <f t="shared" si="2"/>
        <v>1</v>
      </c>
      <c r="S45" s="103">
        <f>'Table 4 Formula'!BA45</f>
        <v>10022289.31</v>
      </c>
      <c r="T45" s="103">
        <f>'Table 4 Formula'!BB45</f>
        <v>2098.03</v>
      </c>
    </row>
    <row r="46" spans="1:20" ht="12.75">
      <c r="A46" s="76">
        <v>39</v>
      </c>
      <c r="B46" s="77" t="s">
        <v>45</v>
      </c>
      <c r="C46" s="104">
        <f>'Table 4 Formula'!C46</f>
        <v>3319</v>
      </c>
      <c r="D46" s="104">
        <f>'Table 4 Formula'!U46</f>
        <v>5046.22</v>
      </c>
      <c r="E46" s="305">
        <f>'Table 4 Formula'!V46</f>
        <v>3020</v>
      </c>
      <c r="F46" s="103">
        <f>'Table 4 Formula'!W46</f>
        <v>15239584</v>
      </c>
      <c r="G46" s="103">
        <f>'Table 4 Formula'!AA46</f>
        <v>7386872.411975363</v>
      </c>
      <c r="H46" s="103">
        <f>'Table 4 Formula'!AC46</f>
        <v>7852711.588024637</v>
      </c>
      <c r="I46" s="103">
        <f>'Table 4 Formula'!AF46</f>
        <v>0</v>
      </c>
      <c r="J46" s="105">
        <f>'Table 4 Formula'!AG46</f>
        <v>-961697.4119753633</v>
      </c>
      <c r="K46" s="103">
        <f>'Table 4 Formula'!AI46</f>
        <v>0</v>
      </c>
      <c r="L46" s="77">
        <f t="shared" si="0"/>
        <v>0</v>
      </c>
      <c r="M46" s="103">
        <f>'Table 4 Formula'!AJ46</f>
        <v>0</v>
      </c>
      <c r="N46" s="103">
        <f>'Table 4 Formula'!AN46</f>
        <v>7852711.588024637</v>
      </c>
      <c r="O46" s="105">
        <f>'Table 4 Formula'!AU46</f>
        <v>-247620.08</v>
      </c>
      <c r="P46" s="77">
        <f t="shared" si="1"/>
        <v>0</v>
      </c>
      <c r="Q46" s="103">
        <f>'Table 4 Formula'!AV46</f>
        <v>798859.3367999997</v>
      </c>
      <c r="R46" s="77">
        <f t="shared" si="2"/>
        <v>1</v>
      </c>
      <c r="S46" s="103">
        <f>'Table 4 Formula'!BA46</f>
        <v>8651570.92</v>
      </c>
      <c r="T46" s="103">
        <f>'Table 4 Formula'!BB46</f>
        <v>2606.68</v>
      </c>
    </row>
    <row r="47" spans="1:20" ht="12.75">
      <c r="A47" s="115">
        <v>40</v>
      </c>
      <c r="B47" s="116" t="s">
        <v>46</v>
      </c>
      <c r="C47" s="130">
        <f>'Table 4 Formula'!C47</f>
        <v>23537</v>
      </c>
      <c r="D47" s="130">
        <f>'Table 4 Formula'!U47</f>
        <v>31154.559999999998</v>
      </c>
      <c r="E47" s="306">
        <f>'Table 4 Formula'!V47</f>
        <v>3020</v>
      </c>
      <c r="F47" s="129">
        <f>'Table 4 Formula'!W47</f>
        <v>94086771</v>
      </c>
      <c r="G47" s="129">
        <f>'Table 4 Formula'!AA47</f>
        <v>28863789.411058675</v>
      </c>
      <c r="H47" s="129">
        <f>'Table 4 Formula'!AC47</f>
        <v>65222981.58894132</v>
      </c>
      <c r="I47" s="129">
        <f>'Table 4 Formula'!AF47</f>
        <v>18592784.588941325</v>
      </c>
      <c r="J47" s="131">
        <f>'Table 4 Formula'!AG47</f>
        <v>0</v>
      </c>
      <c r="K47" s="129">
        <f>'Table 4 Formula'!AI47</f>
        <v>18592784.588941325</v>
      </c>
      <c r="L47" s="116">
        <f t="shared" si="0"/>
        <v>1</v>
      </c>
      <c r="M47" s="129">
        <f>'Table 4 Formula'!AJ47</f>
        <v>8814733.194744924</v>
      </c>
      <c r="N47" s="129">
        <f>'Table 4 Formula'!AN47</f>
        <v>74037714.78368625</v>
      </c>
      <c r="O47" s="131">
        <f>'Table 4 Formula'!AU47</f>
        <v>1418616.8769</v>
      </c>
      <c r="P47" s="116">
        <f t="shared" si="1"/>
        <v>1</v>
      </c>
      <c r="Q47" s="129">
        <f>'Table 4 Formula'!AV47</f>
        <v>0</v>
      </c>
      <c r="R47" s="116">
        <f t="shared" si="2"/>
        <v>0</v>
      </c>
      <c r="S47" s="129">
        <f>'Table 4 Formula'!BA47</f>
        <v>74037714.8769</v>
      </c>
      <c r="T47" s="129">
        <f>'Table 4 Formula'!BB47</f>
        <v>3145.59</v>
      </c>
    </row>
    <row r="48" spans="1:20" ht="12.75">
      <c r="A48" s="76">
        <v>41</v>
      </c>
      <c r="B48" s="77" t="s">
        <v>47</v>
      </c>
      <c r="C48" s="104">
        <f>'Table 4 Formula'!C48</f>
        <v>1872</v>
      </c>
      <c r="D48" s="104">
        <f>'Table 4 Formula'!U48</f>
        <v>2825.66</v>
      </c>
      <c r="E48" s="305">
        <f>'Table 4 Formula'!V48</f>
        <v>3020</v>
      </c>
      <c r="F48" s="103">
        <f>'Table 4 Formula'!W48</f>
        <v>8533493</v>
      </c>
      <c r="G48" s="103">
        <f>'Table 4 Formula'!AA48</f>
        <v>1408528.93061006</v>
      </c>
      <c r="H48" s="103">
        <f>'Table 4 Formula'!AC48</f>
        <v>7124964.06938994</v>
      </c>
      <c r="I48" s="103">
        <f>'Table 4 Formula'!AF48</f>
        <v>1770338.06938994</v>
      </c>
      <c r="J48" s="105">
        <f>'Table 4 Formula'!AG48</f>
        <v>0</v>
      </c>
      <c r="K48" s="103">
        <f>'Table 4 Formula'!AI48</f>
        <v>1770338.06938994</v>
      </c>
      <c r="L48" s="77">
        <f t="shared" si="0"/>
        <v>1</v>
      </c>
      <c r="M48" s="103">
        <f>'Table 4 Formula'!AJ48</f>
        <v>1269406.6720566263</v>
      </c>
      <c r="N48" s="103">
        <f>'Table 4 Formula'!AN48</f>
        <v>8394370.741446566</v>
      </c>
      <c r="O48" s="105">
        <f>'Table 4 Formula'!AU48</f>
        <v>1077811.7328</v>
      </c>
      <c r="P48" s="77">
        <f t="shared" si="1"/>
        <v>1</v>
      </c>
      <c r="Q48" s="103">
        <f>'Table 4 Formula'!AV48</f>
        <v>0</v>
      </c>
      <c r="R48" s="77">
        <f t="shared" si="2"/>
        <v>0</v>
      </c>
      <c r="S48" s="103">
        <f>'Table 4 Formula'!BA48</f>
        <v>8394370.7328</v>
      </c>
      <c r="T48" s="103">
        <f>'Table 4 Formula'!BB48</f>
        <v>4484.17</v>
      </c>
    </row>
    <row r="49" spans="1:20" ht="12.75">
      <c r="A49" s="76">
        <v>42</v>
      </c>
      <c r="B49" s="77" t="s">
        <v>48</v>
      </c>
      <c r="C49" s="104">
        <f>'Table 4 Formula'!C49</f>
        <v>3807</v>
      </c>
      <c r="D49" s="104">
        <f>'Table 4 Formula'!U49</f>
        <v>5423.13</v>
      </c>
      <c r="E49" s="305">
        <f>'Table 4 Formula'!V49</f>
        <v>3020</v>
      </c>
      <c r="F49" s="103">
        <f>'Table 4 Formula'!W49</f>
        <v>16377853</v>
      </c>
      <c r="G49" s="103">
        <f>'Table 4 Formula'!AA49</f>
        <v>3197637.801444205</v>
      </c>
      <c r="H49" s="103">
        <f>'Table 4 Formula'!AC49</f>
        <v>13180215.198555795</v>
      </c>
      <c r="I49" s="103">
        <f>'Table 4 Formula'!AF49</f>
        <v>787784.198555795</v>
      </c>
      <c r="J49" s="105">
        <f>'Table 4 Formula'!AG49</f>
        <v>0</v>
      </c>
      <c r="K49" s="103">
        <f>'Table 4 Formula'!AI49</f>
        <v>787784.198555795</v>
      </c>
      <c r="L49" s="77">
        <f t="shared" si="0"/>
        <v>1</v>
      </c>
      <c r="M49" s="103">
        <f>'Table 4 Formula'!AJ49</f>
        <v>524113.0273963568</v>
      </c>
      <c r="N49" s="103">
        <f>'Table 4 Formula'!AN49</f>
        <v>13704328.225952152</v>
      </c>
      <c r="O49" s="105">
        <f>'Table 4 Formula'!AU49</f>
        <v>33189.2351</v>
      </c>
      <c r="P49" s="77">
        <f t="shared" si="1"/>
        <v>1</v>
      </c>
      <c r="Q49" s="103">
        <f>'Table 4 Formula'!AV49</f>
        <v>0</v>
      </c>
      <c r="R49" s="77">
        <f t="shared" si="2"/>
        <v>0</v>
      </c>
      <c r="S49" s="103">
        <f>'Table 4 Formula'!BA49</f>
        <v>13704328.2351</v>
      </c>
      <c r="T49" s="103">
        <f>'Table 4 Formula'!BB49</f>
        <v>3599.77</v>
      </c>
    </row>
    <row r="50" spans="1:20" ht="12.75">
      <c r="A50" s="76">
        <v>43</v>
      </c>
      <c r="B50" s="77" t="s">
        <v>49</v>
      </c>
      <c r="C50" s="104">
        <f>'Table 4 Formula'!C50</f>
        <v>4362</v>
      </c>
      <c r="D50" s="104">
        <f>'Table 4 Formula'!U50</f>
        <v>6320.9400000000005</v>
      </c>
      <c r="E50" s="305">
        <f>'Table 4 Formula'!V50</f>
        <v>3020</v>
      </c>
      <c r="F50" s="103">
        <f>'Table 4 Formula'!W50</f>
        <v>19089239</v>
      </c>
      <c r="G50" s="103">
        <f>'Table 4 Formula'!AA50</f>
        <v>4279133.565380947</v>
      </c>
      <c r="H50" s="103">
        <f>'Table 4 Formula'!AC50</f>
        <v>14810105.434619054</v>
      </c>
      <c r="I50" s="103">
        <f>'Table 4 Formula'!AF50</f>
        <v>715872.4346190533</v>
      </c>
      <c r="J50" s="105">
        <f>'Table 4 Formula'!AG50</f>
        <v>0</v>
      </c>
      <c r="K50" s="103">
        <f>'Table 4 Formula'!AI50</f>
        <v>715872.4346190533</v>
      </c>
      <c r="L50" s="77">
        <f t="shared" si="0"/>
        <v>1</v>
      </c>
      <c r="M50" s="103">
        <f>'Table 4 Formula'!AJ50</f>
        <v>440775.3847750938</v>
      </c>
      <c r="N50" s="103">
        <f>'Table 4 Formula'!AN50</f>
        <v>15250880.819394149</v>
      </c>
      <c r="O50" s="105">
        <f>'Table 4 Formula'!AU50</f>
        <v>652981.8397</v>
      </c>
      <c r="P50" s="77">
        <f t="shared" si="1"/>
        <v>1</v>
      </c>
      <c r="Q50" s="103">
        <f>'Table 4 Formula'!AV50</f>
        <v>0</v>
      </c>
      <c r="R50" s="77">
        <f t="shared" si="2"/>
        <v>0</v>
      </c>
      <c r="S50" s="103">
        <f>'Table 4 Formula'!BA50</f>
        <v>15250880.8397</v>
      </c>
      <c r="T50" s="103">
        <f>'Table 4 Formula'!BB50</f>
        <v>3496.3</v>
      </c>
    </row>
    <row r="51" spans="1:20" ht="12.75">
      <c r="A51" s="76">
        <v>44</v>
      </c>
      <c r="B51" s="77" t="s">
        <v>50</v>
      </c>
      <c r="C51" s="104">
        <f>'Table 4 Formula'!C51</f>
        <v>8645</v>
      </c>
      <c r="D51" s="104">
        <f>'Table 4 Formula'!U51</f>
        <v>11492.880000000001</v>
      </c>
      <c r="E51" s="305">
        <f>'Table 4 Formula'!V51</f>
        <v>3020</v>
      </c>
      <c r="F51" s="103">
        <f>'Table 4 Formula'!W51</f>
        <v>34708498</v>
      </c>
      <c r="G51" s="103">
        <f>'Table 4 Formula'!AA51</f>
        <v>12451068.23055004</v>
      </c>
      <c r="H51" s="103">
        <f>'Table 4 Formula'!AC51</f>
        <v>22257429.76944996</v>
      </c>
      <c r="I51" s="103">
        <f>'Table 4 Formula'!AF51</f>
        <v>5897033.76944996</v>
      </c>
      <c r="J51" s="105">
        <f>'Table 4 Formula'!AG51</f>
        <v>0</v>
      </c>
      <c r="K51" s="103">
        <f>'Table 4 Formula'!AI51</f>
        <v>5897033.76944996</v>
      </c>
      <c r="L51" s="77">
        <f t="shared" si="0"/>
        <v>1</v>
      </c>
      <c r="M51" s="103">
        <f>'Table 4 Formula'!AJ51</f>
        <v>2270533.9923140504</v>
      </c>
      <c r="N51" s="103">
        <f>'Table 4 Formula'!AN51</f>
        <v>24527963.761764012</v>
      </c>
      <c r="O51" s="105">
        <f>'Table 4 Formula'!AU51</f>
        <v>-470988.2533</v>
      </c>
      <c r="P51" s="77">
        <f t="shared" si="1"/>
        <v>0</v>
      </c>
      <c r="Q51" s="103">
        <f>'Table 4 Formula'!AV51</f>
        <v>0</v>
      </c>
      <c r="R51" s="77">
        <f t="shared" si="2"/>
        <v>0</v>
      </c>
      <c r="S51" s="103">
        <f>'Table 4 Formula'!BA51</f>
        <v>24527963.7467</v>
      </c>
      <c r="T51" s="103">
        <f>'Table 4 Formula'!BB51</f>
        <v>2837.24</v>
      </c>
    </row>
    <row r="52" spans="1:20" ht="12.75">
      <c r="A52" s="115">
        <v>45</v>
      </c>
      <c r="B52" s="116" t="s">
        <v>51</v>
      </c>
      <c r="C52" s="130">
        <f>'Table 4 Formula'!C52</f>
        <v>9755</v>
      </c>
      <c r="D52" s="130">
        <f>'Table 4 Formula'!U52</f>
        <v>12428.98</v>
      </c>
      <c r="E52" s="306">
        <f>'Table 4 Formula'!V52</f>
        <v>3020</v>
      </c>
      <c r="F52" s="129">
        <f>'Table 4 Formula'!W52</f>
        <v>37535520</v>
      </c>
      <c r="G52" s="129">
        <f>'Table 4 Formula'!AA52</f>
        <v>29016903.16110994</v>
      </c>
      <c r="H52" s="129">
        <f>'Table 4 Formula'!AC52</f>
        <v>8518616.83889006</v>
      </c>
      <c r="I52" s="129">
        <f>'Table 4 Formula'!AF52</f>
        <v>25919333.83889006</v>
      </c>
      <c r="J52" s="131">
        <f>'Table 4 Formula'!AG52</f>
        <v>0</v>
      </c>
      <c r="K52" s="129">
        <f>'Table 4 Formula'!AI52</f>
        <v>12386722</v>
      </c>
      <c r="L52" s="116">
        <f t="shared" si="0"/>
        <v>1</v>
      </c>
      <c r="M52" s="129">
        <f>'Table 4 Formula'!AJ52</f>
        <v>0</v>
      </c>
      <c r="N52" s="129">
        <f>'Table 4 Formula'!AN52</f>
        <v>8518616.83889006</v>
      </c>
      <c r="O52" s="131">
        <f>'Table 4 Formula'!AU52</f>
        <v>-358900.5</v>
      </c>
      <c r="P52" s="116">
        <f t="shared" si="1"/>
        <v>0</v>
      </c>
      <c r="Q52" s="129">
        <f>'Table 4 Formula'!AV52</f>
        <v>13499393.6351</v>
      </c>
      <c r="R52" s="116">
        <f t="shared" si="2"/>
        <v>1</v>
      </c>
      <c r="S52" s="129">
        <f>'Table 4 Formula'!BA52</f>
        <v>22018010.5</v>
      </c>
      <c r="T52" s="129">
        <f>'Table 4 Formula'!BB52</f>
        <v>2257.1</v>
      </c>
    </row>
    <row r="53" spans="1:20" ht="12.75">
      <c r="A53" s="76">
        <v>46</v>
      </c>
      <c r="B53" s="77" t="s">
        <v>52</v>
      </c>
      <c r="C53" s="104">
        <f>'Table 4 Formula'!C53</f>
        <v>1485</v>
      </c>
      <c r="D53" s="104">
        <f>'Table 4 Formula'!U53</f>
        <v>2409.2</v>
      </c>
      <c r="E53" s="305">
        <f>'Table 4 Formula'!V53</f>
        <v>3020</v>
      </c>
      <c r="F53" s="103">
        <f>'Table 4 Formula'!W53</f>
        <v>7275784</v>
      </c>
      <c r="G53" s="103">
        <f>'Table 4 Formula'!AA53</f>
        <v>1224805.027319426</v>
      </c>
      <c r="H53" s="103">
        <f>'Table 4 Formula'!AC53</f>
        <v>6050978.972680574</v>
      </c>
      <c r="I53" s="103">
        <f>'Table 4 Formula'!AF53</f>
        <v>118479.97268057405</v>
      </c>
      <c r="J53" s="105">
        <f>'Table 4 Formula'!AG53</f>
        <v>0</v>
      </c>
      <c r="K53" s="103">
        <f>'Table 4 Formula'!AI53</f>
        <v>118479.97268057405</v>
      </c>
      <c r="L53" s="77">
        <f t="shared" si="0"/>
        <v>1</v>
      </c>
      <c r="M53" s="103">
        <f>'Table 4 Formula'!AJ53</f>
        <v>84288.52360068895</v>
      </c>
      <c r="N53" s="103">
        <f>'Table 4 Formula'!AN53</f>
        <v>6135267.496281263</v>
      </c>
      <c r="O53" s="105">
        <f>'Table 4 Formula'!AU53</f>
        <v>470955.4911</v>
      </c>
      <c r="P53" s="77">
        <f t="shared" si="1"/>
        <v>1</v>
      </c>
      <c r="Q53" s="103">
        <f>'Table 4 Formula'!AV53</f>
        <v>0</v>
      </c>
      <c r="R53" s="77">
        <f t="shared" si="2"/>
        <v>0</v>
      </c>
      <c r="S53" s="103">
        <f>'Table 4 Formula'!BA53</f>
        <v>6135267.4911</v>
      </c>
      <c r="T53" s="103">
        <f>'Table 4 Formula'!BB53</f>
        <v>4131.49</v>
      </c>
    </row>
    <row r="54" spans="1:20" ht="12.75">
      <c r="A54" s="76">
        <v>47</v>
      </c>
      <c r="B54" s="77" t="s">
        <v>53</v>
      </c>
      <c r="C54" s="104">
        <f>'Table 4 Formula'!C54</f>
        <v>3992</v>
      </c>
      <c r="D54" s="104">
        <f>'Table 4 Formula'!U54</f>
        <v>5675.8</v>
      </c>
      <c r="E54" s="305">
        <f>'Table 4 Formula'!V54</f>
        <v>3020</v>
      </c>
      <c r="F54" s="103">
        <f>'Table 4 Formula'!W54</f>
        <v>17140916</v>
      </c>
      <c r="G54" s="103">
        <f>'Table 4 Formula'!AA54</f>
        <v>9835359.254544046</v>
      </c>
      <c r="H54" s="103">
        <f>'Table 4 Formula'!AC54</f>
        <v>7305556.745455954</v>
      </c>
      <c r="I54" s="103">
        <f>'Table 4 Formula'!AF54</f>
        <v>5000964.745455954</v>
      </c>
      <c r="J54" s="105">
        <f>'Table 4 Formula'!AG54</f>
        <v>0</v>
      </c>
      <c r="K54" s="103">
        <f>'Table 4 Formula'!AI54</f>
        <v>5000964.745455954</v>
      </c>
      <c r="L54" s="77">
        <f t="shared" si="0"/>
        <v>1</v>
      </c>
      <c r="M54" s="103">
        <f>'Table 4 Formula'!AJ54</f>
        <v>81778.90612162632</v>
      </c>
      <c r="N54" s="103">
        <f>'Table 4 Formula'!AN54</f>
        <v>7387335.651577581</v>
      </c>
      <c r="O54" s="105">
        <f>'Table 4 Formula'!AU54</f>
        <v>-469145.16</v>
      </c>
      <c r="P54" s="77">
        <f t="shared" si="1"/>
        <v>0</v>
      </c>
      <c r="Q54" s="103">
        <f>'Table 4 Formula'!AV54</f>
        <v>2316298.1997999996</v>
      </c>
      <c r="R54" s="77">
        <f t="shared" si="2"/>
        <v>1</v>
      </c>
      <c r="S54" s="103">
        <f>'Table 4 Formula'!BA54</f>
        <v>9703633.84</v>
      </c>
      <c r="T54" s="103">
        <f>'Table 4 Formula'!BB54</f>
        <v>2430.77</v>
      </c>
    </row>
    <row r="55" spans="1:20" ht="12.75">
      <c r="A55" s="76">
        <v>48</v>
      </c>
      <c r="B55" s="77" t="s">
        <v>54</v>
      </c>
      <c r="C55" s="104">
        <f>'Table 4 Formula'!C55</f>
        <v>6414</v>
      </c>
      <c r="D55" s="104">
        <f>'Table 4 Formula'!U55</f>
        <v>9567.33</v>
      </c>
      <c r="E55" s="305">
        <f>'Table 4 Formula'!V55</f>
        <v>3020</v>
      </c>
      <c r="F55" s="103">
        <f>'Table 4 Formula'!W55</f>
        <v>28893337</v>
      </c>
      <c r="G55" s="103">
        <f>'Table 4 Formula'!AA55</f>
        <v>10677589.852916658</v>
      </c>
      <c r="H55" s="103">
        <f>'Table 4 Formula'!AC55</f>
        <v>18215747.147083342</v>
      </c>
      <c r="I55" s="103">
        <f>'Table 4 Formula'!AF55</f>
        <v>7384695.147083342</v>
      </c>
      <c r="J55" s="105">
        <f>'Table 4 Formula'!AG55</f>
        <v>0</v>
      </c>
      <c r="K55" s="103">
        <f>'Table 4 Formula'!AI55</f>
        <v>7384695.147083342</v>
      </c>
      <c r="L55" s="77">
        <f t="shared" si="0"/>
        <v>1</v>
      </c>
      <c r="M55" s="103">
        <f>'Table 4 Formula'!AJ55</f>
        <v>2706361.583549142</v>
      </c>
      <c r="N55" s="103">
        <f>'Table 4 Formula'!AN55</f>
        <v>20922108.730632484</v>
      </c>
      <c r="O55" s="105">
        <f>'Table 4 Formula'!AU55</f>
        <v>1231532.7519</v>
      </c>
      <c r="P55" s="77">
        <f t="shared" si="1"/>
        <v>1</v>
      </c>
      <c r="Q55" s="103">
        <f>'Table 4 Formula'!AV55</f>
        <v>0</v>
      </c>
      <c r="R55" s="77">
        <f t="shared" si="2"/>
        <v>0</v>
      </c>
      <c r="S55" s="103">
        <f>'Table 4 Formula'!BA55</f>
        <v>20922108.7519</v>
      </c>
      <c r="T55" s="103">
        <f>'Table 4 Formula'!BB55</f>
        <v>3261.94</v>
      </c>
    </row>
    <row r="56" spans="1:20" ht="12.75">
      <c r="A56" s="76">
        <v>49</v>
      </c>
      <c r="B56" s="77" t="s">
        <v>55</v>
      </c>
      <c r="C56" s="104">
        <f>'Table 4 Formula'!C56</f>
        <v>15746</v>
      </c>
      <c r="D56" s="104">
        <f>'Table 4 Formula'!U56</f>
        <v>21953.92</v>
      </c>
      <c r="E56" s="305">
        <f>'Table 4 Formula'!V56</f>
        <v>3020</v>
      </c>
      <c r="F56" s="103">
        <f>'Table 4 Formula'!W56</f>
        <v>66300838</v>
      </c>
      <c r="G56" s="103">
        <f>'Table 4 Formula'!AA56</f>
        <v>14371099.540067807</v>
      </c>
      <c r="H56" s="103">
        <f>'Table 4 Formula'!AC56</f>
        <v>51929738.45993219</v>
      </c>
      <c r="I56" s="103">
        <f>'Table 4 Formula'!AF56</f>
        <v>150095.45993219316</v>
      </c>
      <c r="J56" s="105">
        <f>'Table 4 Formula'!AG56</f>
        <v>0</v>
      </c>
      <c r="K56" s="103">
        <f>'Table 4 Formula'!AI56</f>
        <v>150095.45993219316</v>
      </c>
      <c r="L56" s="77">
        <f t="shared" si="0"/>
        <v>1</v>
      </c>
      <c r="M56" s="103">
        <f>'Table 4 Formula'!AJ56</f>
        <v>94322.75838396238</v>
      </c>
      <c r="N56" s="103">
        <f>'Table 4 Formula'!AN56</f>
        <v>52024061.21831615</v>
      </c>
      <c r="O56" s="105">
        <f>'Table 4 Formula'!AU56</f>
        <v>1111111.2586</v>
      </c>
      <c r="P56" s="77">
        <f t="shared" si="1"/>
        <v>1</v>
      </c>
      <c r="Q56" s="103">
        <f>'Table 4 Formula'!AV56</f>
        <v>0</v>
      </c>
      <c r="R56" s="77">
        <f t="shared" si="2"/>
        <v>0</v>
      </c>
      <c r="S56" s="103">
        <f>'Table 4 Formula'!BA56</f>
        <v>52024061.2586</v>
      </c>
      <c r="T56" s="103">
        <f>'Table 4 Formula'!BB56</f>
        <v>3303.95</v>
      </c>
    </row>
    <row r="57" spans="1:20" ht="12.75">
      <c r="A57" s="115">
        <v>50</v>
      </c>
      <c r="B57" s="116" t="s">
        <v>56</v>
      </c>
      <c r="C57" s="130">
        <f>'Table 4 Formula'!C57</f>
        <v>8559</v>
      </c>
      <c r="D57" s="130">
        <f>'Table 4 Formula'!U57</f>
        <v>11705.51</v>
      </c>
      <c r="E57" s="306">
        <f>'Table 4 Formula'!V57</f>
        <v>3020</v>
      </c>
      <c r="F57" s="129">
        <f>'Table 4 Formula'!W57</f>
        <v>35350640</v>
      </c>
      <c r="G57" s="129">
        <f>'Table 4 Formula'!AA57</f>
        <v>7307659.7177557815</v>
      </c>
      <c r="H57" s="129">
        <f>'Table 4 Formula'!AC57</f>
        <v>28042980.28224422</v>
      </c>
      <c r="I57" s="129">
        <f>'Table 4 Formula'!AF57</f>
        <v>4354612.2822442185</v>
      </c>
      <c r="J57" s="131">
        <f>'Table 4 Formula'!AG57</f>
        <v>0</v>
      </c>
      <c r="K57" s="129">
        <f>'Table 4 Formula'!AI57</f>
        <v>4354612.2822442185</v>
      </c>
      <c r="L57" s="116">
        <f t="shared" si="0"/>
        <v>1</v>
      </c>
      <c r="M57" s="129">
        <f>'Table 4 Formula'!AJ57</f>
        <v>2811441.6949766167</v>
      </c>
      <c r="N57" s="129">
        <f>'Table 4 Formula'!AN57</f>
        <v>30854421.977220837</v>
      </c>
      <c r="O57" s="131">
        <f>'Table 4 Formula'!AU57</f>
        <v>1389543.9511</v>
      </c>
      <c r="P57" s="116">
        <f t="shared" si="1"/>
        <v>1</v>
      </c>
      <c r="Q57" s="129">
        <f>'Table 4 Formula'!AV57</f>
        <v>0</v>
      </c>
      <c r="R57" s="116">
        <f t="shared" si="2"/>
        <v>0</v>
      </c>
      <c r="S57" s="129">
        <f>'Table 4 Formula'!BA57</f>
        <v>30854421.9511</v>
      </c>
      <c r="T57" s="129">
        <f>'Table 4 Formula'!BB57</f>
        <v>3604.91</v>
      </c>
    </row>
    <row r="58" spans="1:20" ht="12.75">
      <c r="A58" s="76">
        <v>51</v>
      </c>
      <c r="B58" s="77" t="s">
        <v>57</v>
      </c>
      <c r="C58" s="104">
        <f>'Table 4 Formula'!C58</f>
        <v>10840</v>
      </c>
      <c r="D58" s="104">
        <f>'Table 4 Formula'!U58</f>
        <v>14508.67</v>
      </c>
      <c r="E58" s="305">
        <f>'Table 4 Formula'!V58</f>
        <v>3020</v>
      </c>
      <c r="F58" s="103">
        <f>'Table 4 Formula'!W58</f>
        <v>43816183</v>
      </c>
      <c r="G58" s="103">
        <f>'Table 4 Formula'!AA58</f>
        <v>14515605.49668413</v>
      </c>
      <c r="H58" s="103">
        <f>'Table 4 Formula'!AC58</f>
        <v>29300577.50331587</v>
      </c>
      <c r="I58" s="103">
        <f>'Table 4 Formula'!AF58</f>
        <v>7233802.50331587</v>
      </c>
      <c r="J58" s="105">
        <f>'Table 4 Formula'!AG58</f>
        <v>0</v>
      </c>
      <c r="K58" s="103">
        <f>'Table 4 Formula'!AI58</f>
        <v>7233802.50331587</v>
      </c>
      <c r="L58" s="77">
        <f t="shared" si="0"/>
        <v>1</v>
      </c>
      <c r="M58" s="103">
        <f>'Table 4 Formula'!AJ58</f>
        <v>3125612.780335585</v>
      </c>
      <c r="N58" s="103">
        <f>'Table 4 Formula'!AN58</f>
        <v>32426190.283651456</v>
      </c>
      <c r="O58" s="105">
        <f>'Table 4 Formula'!AU58</f>
        <v>907538.3148</v>
      </c>
      <c r="P58" s="77">
        <f t="shared" si="1"/>
        <v>1</v>
      </c>
      <c r="Q58" s="103">
        <f>'Table 4 Formula'!AV58</f>
        <v>0</v>
      </c>
      <c r="R58" s="77">
        <f t="shared" si="2"/>
        <v>0</v>
      </c>
      <c r="S58" s="103">
        <f>'Table 4 Formula'!BA58</f>
        <v>32426190.3148</v>
      </c>
      <c r="T58" s="103">
        <f>'Table 4 Formula'!BB58</f>
        <v>2991.35</v>
      </c>
    </row>
    <row r="59" spans="1:20" ht="12.75">
      <c r="A59" s="76">
        <v>52</v>
      </c>
      <c r="B59" s="77" t="s">
        <v>58</v>
      </c>
      <c r="C59" s="104">
        <f>'Table 4 Formula'!C59</f>
        <v>32312</v>
      </c>
      <c r="D59" s="104">
        <f>'Table 4 Formula'!U59</f>
        <v>43147.2</v>
      </c>
      <c r="E59" s="305">
        <f>'Table 4 Formula'!V59</f>
        <v>3020</v>
      </c>
      <c r="F59" s="103">
        <f>'Table 4 Formula'!W59</f>
        <v>130304544</v>
      </c>
      <c r="G59" s="103">
        <f>'Table 4 Formula'!AA59</f>
        <v>38032265.11788528</v>
      </c>
      <c r="H59" s="103">
        <f>'Table 4 Formula'!AC59</f>
        <v>92272278.88211472</v>
      </c>
      <c r="I59" s="103">
        <f>'Table 4 Formula'!AF59</f>
        <v>43903200.88211472</v>
      </c>
      <c r="J59" s="105">
        <f>'Table 4 Formula'!AG59</f>
        <v>0</v>
      </c>
      <c r="K59" s="103">
        <f>'Table 4 Formula'!AI59</f>
        <v>43000500</v>
      </c>
      <c r="L59" s="77">
        <f t="shared" si="0"/>
        <v>1</v>
      </c>
      <c r="M59" s="103">
        <f>'Table 4 Formula'!AJ59</f>
        <v>21485102.213864997</v>
      </c>
      <c r="N59" s="103">
        <f>'Table 4 Formula'!AN59</f>
        <v>113757381.09597972</v>
      </c>
      <c r="O59" s="105">
        <f>'Table 4 Formula'!AU59</f>
        <v>5830370.9826</v>
      </c>
      <c r="P59" s="77">
        <f t="shared" si="1"/>
        <v>1</v>
      </c>
      <c r="Q59" s="103">
        <f>'Table 4 Formula'!AV59</f>
        <v>0</v>
      </c>
      <c r="R59" s="77">
        <f t="shared" si="2"/>
        <v>0</v>
      </c>
      <c r="S59" s="103">
        <f>'Table 4 Formula'!BA59</f>
        <v>113757380.9826</v>
      </c>
      <c r="T59" s="103">
        <f>'Table 4 Formula'!BB59</f>
        <v>3520.59</v>
      </c>
    </row>
    <row r="60" spans="1:20" ht="12.75">
      <c r="A60" s="76">
        <v>53</v>
      </c>
      <c r="B60" s="77" t="s">
        <v>59</v>
      </c>
      <c r="C60" s="104">
        <f>'Table 4 Formula'!C60</f>
        <v>18557</v>
      </c>
      <c r="D60" s="104">
        <f>'Table 4 Formula'!U60</f>
        <v>24847.190000000002</v>
      </c>
      <c r="E60" s="305">
        <f>'Table 4 Formula'!V60</f>
        <v>3020</v>
      </c>
      <c r="F60" s="103">
        <f>'Table 4 Formula'!W60</f>
        <v>75038514</v>
      </c>
      <c r="G60" s="103">
        <f>'Table 4 Formula'!AA60</f>
        <v>16126596.02726942</v>
      </c>
      <c r="H60" s="103">
        <f>'Table 4 Formula'!AC60</f>
        <v>58911917.97273058</v>
      </c>
      <c r="I60" s="103">
        <f>'Table 4 Formula'!AF60</f>
        <v>7160562.972730581</v>
      </c>
      <c r="J60" s="105">
        <f>'Table 4 Formula'!AG60</f>
        <v>0</v>
      </c>
      <c r="K60" s="103">
        <f>'Table 4 Formula'!AI60</f>
        <v>7160562.972730581</v>
      </c>
      <c r="L60" s="77">
        <f t="shared" si="0"/>
        <v>1</v>
      </c>
      <c r="M60" s="103">
        <f>'Table 4 Formula'!AJ60</f>
        <v>4522477.527837786</v>
      </c>
      <c r="N60" s="103">
        <f>'Table 4 Formula'!AN60</f>
        <v>63434395.50056836</v>
      </c>
      <c r="O60" s="105">
        <f>'Table 4 Formula'!AU60</f>
        <v>2800714.5491</v>
      </c>
      <c r="P60" s="77">
        <f t="shared" si="1"/>
        <v>1</v>
      </c>
      <c r="Q60" s="103">
        <f>'Table 4 Formula'!AV60</f>
        <v>0</v>
      </c>
      <c r="R60" s="77">
        <f t="shared" si="2"/>
        <v>0</v>
      </c>
      <c r="S60" s="103">
        <f>'Table 4 Formula'!BA60</f>
        <v>63434395.5491</v>
      </c>
      <c r="T60" s="103">
        <f>'Table 4 Formula'!BB60</f>
        <v>3418.35</v>
      </c>
    </row>
    <row r="61" spans="1:20" ht="12.75">
      <c r="A61" s="76">
        <v>54</v>
      </c>
      <c r="B61" s="77" t="s">
        <v>60</v>
      </c>
      <c r="C61" s="104">
        <f>'Table 4 Formula'!C61</f>
        <v>1153</v>
      </c>
      <c r="D61" s="104">
        <f>'Table 4 Formula'!U61</f>
        <v>1938.28</v>
      </c>
      <c r="E61" s="305">
        <f>'Table 4 Formula'!V61</f>
        <v>3020</v>
      </c>
      <c r="F61" s="103">
        <f>'Table 4 Formula'!W61</f>
        <v>5853606</v>
      </c>
      <c r="G61" s="103">
        <f>'Table 4 Formula'!AA61</f>
        <v>1367305.997903951</v>
      </c>
      <c r="H61" s="103">
        <f>'Table 4 Formula'!AC61</f>
        <v>4486300.0020960495</v>
      </c>
      <c r="I61" s="103">
        <f>'Table 4 Formula'!AF61</f>
        <v>0</v>
      </c>
      <c r="J61" s="105">
        <f>'Table 4 Formula'!AG61</f>
        <v>-262654.997903951</v>
      </c>
      <c r="K61" s="103">
        <f>'Table 4 Formula'!AI61</f>
        <v>0</v>
      </c>
      <c r="L61" s="77">
        <f t="shared" si="0"/>
        <v>0</v>
      </c>
      <c r="M61" s="103">
        <f>'Table 4 Formula'!AJ61</f>
        <v>0</v>
      </c>
      <c r="N61" s="103">
        <f>'Table 4 Formula'!AN61</f>
        <v>4486300.0020960495</v>
      </c>
      <c r="O61" s="105">
        <f>'Table 4 Formula'!AU61</f>
        <v>-83213.0023</v>
      </c>
      <c r="P61" s="77">
        <f t="shared" si="1"/>
        <v>0</v>
      </c>
      <c r="Q61" s="103">
        <f>'Table 4 Formula'!AV61</f>
        <v>0</v>
      </c>
      <c r="R61" s="77">
        <f t="shared" si="2"/>
        <v>0</v>
      </c>
      <c r="S61" s="103">
        <f>'Table 4 Formula'!BA61</f>
        <v>4486299.9977</v>
      </c>
      <c r="T61" s="103">
        <f>'Table 4 Formula'!BB61</f>
        <v>3890.98</v>
      </c>
    </row>
    <row r="62" spans="1:20" ht="12.75">
      <c r="A62" s="115">
        <v>55</v>
      </c>
      <c r="B62" s="116" t="s">
        <v>61</v>
      </c>
      <c r="C62" s="130">
        <f>'Table 4 Formula'!C62</f>
        <v>19959</v>
      </c>
      <c r="D62" s="130">
        <f>'Table 4 Formula'!U62</f>
        <v>27577.84</v>
      </c>
      <c r="E62" s="306">
        <f>'Table 4 Formula'!V62</f>
        <v>3020</v>
      </c>
      <c r="F62" s="129">
        <f>'Table 4 Formula'!W62</f>
        <v>83285077</v>
      </c>
      <c r="G62" s="129">
        <f>'Table 4 Formula'!AA62</f>
        <v>25526044.025497224</v>
      </c>
      <c r="H62" s="129">
        <f>'Table 4 Formula'!AC62</f>
        <v>57759032.97450277</v>
      </c>
      <c r="I62" s="129">
        <f>'Table 4 Formula'!AF62</f>
        <v>10476705.974502776</v>
      </c>
      <c r="J62" s="131">
        <f>'Table 4 Formula'!AG62</f>
        <v>0</v>
      </c>
      <c r="K62" s="129">
        <f>'Table 4 Formula'!AI62</f>
        <v>10476705.974502776</v>
      </c>
      <c r="L62" s="116">
        <f t="shared" si="0"/>
        <v>1</v>
      </c>
      <c r="M62" s="129">
        <f>'Table 4 Formula'!AJ62</f>
        <v>4972124.068613251</v>
      </c>
      <c r="N62" s="129">
        <f>'Table 4 Formula'!AN62</f>
        <v>62731157.043116026</v>
      </c>
      <c r="O62" s="131">
        <f>'Table 4 Formula'!AU62</f>
        <v>3660862.959</v>
      </c>
      <c r="P62" s="116">
        <f t="shared" si="1"/>
        <v>1</v>
      </c>
      <c r="Q62" s="129">
        <f>'Table 4 Formula'!AV62</f>
        <v>0</v>
      </c>
      <c r="R62" s="116">
        <f t="shared" si="2"/>
        <v>0</v>
      </c>
      <c r="S62" s="129">
        <f>'Table 4 Formula'!BA62</f>
        <v>62731156.959</v>
      </c>
      <c r="T62" s="129">
        <f>'Table 4 Formula'!BB62</f>
        <v>3143</v>
      </c>
    </row>
    <row r="63" spans="1:20" ht="12.75">
      <c r="A63" s="76">
        <v>56</v>
      </c>
      <c r="B63" s="77" t="s">
        <v>62</v>
      </c>
      <c r="C63" s="104">
        <f>'Table 4 Formula'!C63</f>
        <v>3695</v>
      </c>
      <c r="D63" s="104">
        <f>'Table 4 Formula'!U63</f>
        <v>5079.96</v>
      </c>
      <c r="E63" s="305">
        <f>'Table 4 Formula'!V63</f>
        <v>3020</v>
      </c>
      <c r="F63" s="103">
        <f>'Table 4 Formula'!W63</f>
        <v>15341479</v>
      </c>
      <c r="G63" s="103">
        <f>'Table 4 Formula'!AA63</f>
        <v>3613478.2028243425</v>
      </c>
      <c r="H63" s="103">
        <f>'Table 4 Formula'!AC63</f>
        <v>11728000.797175657</v>
      </c>
      <c r="I63" s="103">
        <f>'Table 4 Formula'!AF63</f>
        <v>0</v>
      </c>
      <c r="J63" s="105">
        <f>'Table 4 Formula'!AG63</f>
        <v>-868777.2028243425</v>
      </c>
      <c r="K63" s="103">
        <f>'Table 4 Formula'!AI63</f>
        <v>0</v>
      </c>
      <c r="L63" s="77">
        <f t="shared" si="0"/>
        <v>0</v>
      </c>
      <c r="M63" s="103">
        <f>'Table 4 Formula'!AJ63</f>
        <v>0</v>
      </c>
      <c r="N63" s="103">
        <f>'Table 4 Formula'!AN63</f>
        <v>11728000.797175657</v>
      </c>
      <c r="O63" s="105">
        <f>'Table 4 Formula'!AU63</f>
        <v>487590.7962</v>
      </c>
      <c r="P63" s="77">
        <f t="shared" si="1"/>
        <v>1</v>
      </c>
      <c r="Q63" s="103">
        <f>'Table 4 Formula'!AV63</f>
        <v>0</v>
      </c>
      <c r="R63" s="77">
        <f t="shared" si="2"/>
        <v>0</v>
      </c>
      <c r="S63" s="103">
        <f>'Table 4 Formula'!BA63</f>
        <v>11728000.7962</v>
      </c>
      <c r="T63" s="103">
        <f>'Table 4 Formula'!BB63</f>
        <v>3174.02</v>
      </c>
    </row>
    <row r="64" spans="1:20" ht="12.75">
      <c r="A64" s="76">
        <v>57</v>
      </c>
      <c r="B64" s="77" t="s">
        <v>63</v>
      </c>
      <c r="C64" s="104">
        <f>'Table 4 Formula'!C64</f>
        <v>9216</v>
      </c>
      <c r="D64" s="104">
        <f>'Table 4 Formula'!U64</f>
        <v>12387.52</v>
      </c>
      <c r="E64" s="305">
        <f>'Table 4 Formula'!V64</f>
        <v>3020</v>
      </c>
      <c r="F64" s="103">
        <f>'Table 4 Formula'!W64</f>
        <v>37410310</v>
      </c>
      <c r="G64" s="103">
        <f>'Table 4 Formula'!AA64</f>
        <v>11670383.35523725</v>
      </c>
      <c r="H64" s="103">
        <f>'Table 4 Formula'!AC64</f>
        <v>25739926.64476275</v>
      </c>
      <c r="I64" s="103">
        <f>'Table 4 Formula'!AF64</f>
        <v>1925245.6447627507</v>
      </c>
      <c r="J64" s="105">
        <f>'Table 4 Formula'!AG64</f>
        <v>0</v>
      </c>
      <c r="K64" s="103">
        <f>'Table 4 Formula'!AI64</f>
        <v>1925245.6447627507</v>
      </c>
      <c r="L64" s="77">
        <f t="shared" si="0"/>
        <v>1</v>
      </c>
      <c r="M64" s="103">
        <f>'Table 4 Formula'!AJ64</f>
        <v>895658.7127377251</v>
      </c>
      <c r="N64" s="103">
        <f>'Table 4 Formula'!AN64</f>
        <v>26635585.357500475</v>
      </c>
      <c r="O64" s="105">
        <f>'Table 4 Formula'!AU64</f>
        <v>1888941.3517</v>
      </c>
      <c r="P64" s="77">
        <f t="shared" si="1"/>
        <v>1</v>
      </c>
      <c r="Q64" s="103">
        <f>'Table 4 Formula'!AV64</f>
        <v>0</v>
      </c>
      <c r="R64" s="77">
        <f t="shared" si="2"/>
        <v>0</v>
      </c>
      <c r="S64" s="103">
        <f>'Table 4 Formula'!BA64</f>
        <v>26635585.3517</v>
      </c>
      <c r="T64" s="103">
        <f>'Table 4 Formula'!BB64</f>
        <v>2890.15</v>
      </c>
    </row>
    <row r="65" spans="1:20" ht="12.75">
      <c r="A65" s="76">
        <v>58</v>
      </c>
      <c r="B65" s="77" t="s">
        <v>64</v>
      </c>
      <c r="C65" s="104">
        <f>'Table 4 Formula'!C65</f>
        <v>10029</v>
      </c>
      <c r="D65" s="104">
        <f>'Table 4 Formula'!U65</f>
        <v>13168.67</v>
      </c>
      <c r="E65" s="305">
        <f>'Table 4 Formula'!V65</f>
        <v>3020</v>
      </c>
      <c r="F65" s="103">
        <f>'Table 4 Formula'!W65</f>
        <v>39769383</v>
      </c>
      <c r="G65" s="103">
        <f>'Table 4 Formula'!AA65</f>
        <v>6415871.323277864</v>
      </c>
      <c r="H65" s="103">
        <f>'Table 4 Formula'!AC65</f>
        <v>33353511.676722135</v>
      </c>
      <c r="I65" s="103">
        <f>'Table 4 Formula'!AF65</f>
        <v>4266706.676722136</v>
      </c>
      <c r="J65" s="105">
        <f>'Table 4 Formula'!AG65</f>
        <v>0</v>
      </c>
      <c r="K65" s="103">
        <f>'Table 4 Formula'!AI65</f>
        <v>4266706.676722136</v>
      </c>
      <c r="L65" s="77">
        <f t="shared" si="0"/>
        <v>1</v>
      </c>
      <c r="M65" s="103">
        <f>'Table 4 Formula'!AJ65</f>
        <v>3086705.4931338336</v>
      </c>
      <c r="N65" s="103">
        <f>'Table 4 Formula'!AN65</f>
        <v>36440217.16985597</v>
      </c>
      <c r="O65" s="105">
        <f>'Table 4 Formula'!AU65</f>
        <v>502356.1537</v>
      </c>
      <c r="P65" s="77">
        <f t="shared" si="1"/>
        <v>1</v>
      </c>
      <c r="Q65" s="103">
        <f>'Table 4 Formula'!AV65</f>
        <v>0</v>
      </c>
      <c r="R65" s="77">
        <f t="shared" si="2"/>
        <v>0</v>
      </c>
      <c r="S65" s="103">
        <f>'Table 4 Formula'!BA65</f>
        <v>36440217.1537</v>
      </c>
      <c r="T65" s="103">
        <f>'Table 4 Formula'!BB65</f>
        <v>3633.48</v>
      </c>
    </row>
    <row r="66" spans="1:20" ht="12.75">
      <c r="A66" s="76">
        <v>59</v>
      </c>
      <c r="B66" s="77" t="s">
        <v>65</v>
      </c>
      <c r="C66" s="104">
        <f>'Table 4 Formula'!C66</f>
        <v>4570</v>
      </c>
      <c r="D66" s="104">
        <f>'Table 4 Formula'!U66</f>
        <v>6763.23</v>
      </c>
      <c r="E66" s="305">
        <f>'Table 4 Formula'!V66</f>
        <v>3020</v>
      </c>
      <c r="F66" s="103">
        <f>'Table 4 Formula'!W66</f>
        <v>20424955</v>
      </c>
      <c r="G66" s="103">
        <f>'Table 4 Formula'!AA66</f>
        <v>3056627.448747194</v>
      </c>
      <c r="H66" s="103">
        <f>'Table 4 Formula'!AC66</f>
        <v>17368327.551252805</v>
      </c>
      <c r="I66" s="103">
        <f>'Table 4 Formula'!AF66</f>
        <v>1857888.551252806</v>
      </c>
      <c r="J66" s="105">
        <f>'Table 4 Formula'!AG66</f>
        <v>0</v>
      </c>
      <c r="K66" s="103">
        <f>'Table 4 Formula'!AI66</f>
        <v>1857888.551252806</v>
      </c>
      <c r="L66" s="77">
        <f t="shared" si="0"/>
        <v>1</v>
      </c>
      <c r="M66" s="103">
        <f>'Table 4 Formula'!AJ66</f>
        <v>1381255.629937819</v>
      </c>
      <c r="N66" s="103">
        <f>'Table 4 Formula'!AN66</f>
        <v>18749583.181190625</v>
      </c>
      <c r="O66" s="105">
        <f>'Table 4 Formula'!AU66</f>
        <v>820025.1751</v>
      </c>
      <c r="P66" s="77">
        <f t="shared" si="1"/>
        <v>1</v>
      </c>
      <c r="Q66" s="103">
        <f>'Table 4 Formula'!AV66</f>
        <v>0</v>
      </c>
      <c r="R66" s="77">
        <f t="shared" si="2"/>
        <v>0</v>
      </c>
      <c r="S66" s="103">
        <f>'Table 4 Formula'!BA66</f>
        <v>18749583.1751</v>
      </c>
      <c r="T66" s="103">
        <f>'Table 4 Formula'!BB66</f>
        <v>4102.75</v>
      </c>
    </row>
    <row r="67" spans="1:20" ht="12.75">
      <c r="A67" s="115">
        <v>60</v>
      </c>
      <c r="B67" s="116" t="s">
        <v>66</v>
      </c>
      <c r="C67" s="130">
        <f>'Table 4 Formula'!C67</f>
        <v>7764</v>
      </c>
      <c r="D67" s="130">
        <f>'Table 4 Formula'!U67</f>
        <v>10056.65</v>
      </c>
      <c r="E67" s="306">
        <f>'Table 4 Formula'!V67</f>
        <v>3020</v>
      </c>
      <c r="F67" s="129">
        <f>'Table 4 Formula'!W67</f>
        <v>30371083</v>
      </c>
      <c r="G67" s="129">
        <f>'Table 4 Formula'!AA67</f>
        <v>8224998.562502777</v>
      </c>
      <c r="H67" s="129">
        <f>'Table 4 Formula'!AC67</f>
        <v>22146084.43749722</v>
      </c>
      <c r="I67" s="129">
        <f>'Table 4 Formula'!AF67</f>
        <v>5392047.437497223</v>
      </c>
      <c r="J67" s="131">
        <f>'Table 4 Formula'!AG67</f>
        <v>0</v>
      </c>
      <c r="K67" s="129">
        <f>'Table 4 Formula'!AI67</f>
        <v>5392047.437497223</v>
      </c>
      <c r="L67" s="116">
        <f t="shared" si="0"/>
        <v>1</v>
      </c>
      <c r="M67" s="129">
        <f>'Table 4 Formula'!AJ67</f>
        <v>2888749.5889767646</v>
      </c>
      <c r="N67" s="129">
        <f>'Table 4 Formula'!AN67</f>
        <v>25034834.026473984</v>
      </c>
      <c r="O67" s="131">
        <f>'Table 4 Formula'!AU67</f>
        <v>1463501.9932</v>
      </c>
      <c r="P67" s="116">
        <f t="shared" si="1"/>
        <v>1</v>
      </c>
      <c r="Q67" s="129">
        <f>'Table 4 Formula'!AV67</f>
        <v>0</v>
      </c>
      <c r="R67" s="116">
        <f t="shared" si="2"/>
        <v>0</v>
      </c>
      <c r="S67" s="129">
        <f>'Table 4 Formula'!BA67</f>
        <v>25034833.9932</v>
      </c>
      <c r="T67" s="129">
        <f>'Table 4 Formula'!BB67</f>
        <v>3224.48</v>
      </c>
    </row>
    <row r="68" spans="1:20" ht="12.75">
      <c r="A68" s="76">
        <v>61</v>
      </c>
      <c r="B68" s="77" t="s">
        <v>67</v>
      </c>
      <c r="C68" s="104">
        <f>'Table 4 Formula'!C68</f>
        <v>3820</v>
      </c>
      <c r="D68" s="104">
        <f>'Table 4 Formula'!U68</f>
        <v>5358.01</v>
      </c>
      <c r="E68" s="305">
        <f>'Table 4 Formula'!V68</f>
        <v>3020</v>
      </c>
      <c r="F68" s="103">
        <f>'Table 4 Formula'!W68</f>
        <v>16181190</v>
      </c>
      <c r="G68" s="103">
        <f>'Table 4 Formula'!AA68</f>
        <v>8333257.310910748</v>
      </c>
      <c r="H68" s="103">
        <f>'Table 4 Formula'!AC68</f>
        <v>7847932.689089252</v>
      </c>
      <c r="I68" s="103">
        <f>'Table 4 Formula'!AF68</f>
        <v>594694.6890892517</v>
      </c>
      <c r="J68" s="105">
        <f>'Table 4 Formula'!AG68</f>
        <v>0</v>
      </c>
      <c r="K68" s="103">
        <f>'Table 4 Formula'!AI68</f>
        <v>594694.6890892517</v>
      </c>
      <c r="L68" s="77">
        <f t="shared" si="0"/>
        <v>1</v>
      </c>
      <c r="M68" s="103">
        <f>'Table 4 Formula'!AJ68</f>
        <v>69667.52893652456</v>
      </c>
      <c r="N68" s="103">
        <f>'Table 4 Formula'!AN68</f>
        <v>7917600.218025777</v>
      </c>
      <c r="O68" s="105">
        <f>'Table 4 Formula'!AU68</f>
        <v>-223872.4</v>
      </c>
      <c r="P68" s="77">
        <f t="shared" si="1"/>
        <v>0</v>
      </c>
      <c r="Q68" s="103">
        <f>'Table 4 Formula'!AV68</f>
        <v>808731.3977999995</v>
      </c>
      <c r="R68" s="77">
        <f t="shared" si="2"/>
        <v>1</v>
      </c>
      <c r="S68" s="103">
        <f>'Table 4 Formula'!BA68</f>
        <v>8726331.6</v>
      </c>
      <c r="T68" s="103">
        <f>'Table 4 Formula'!BB68</f>
        <v>2284.38</v>
      </c>
    </row>
    <row r="69" spans="1:20" ht="12.75">
      <c r="A69" s="76">
        <v>62</v>
      </c>
      <c r="B69" s="77" t="s">
        <v>68</v>
      </c>
      <c r="C69" s="104">
        <f>'Table 4 Formula'!C69</f>
        <v>2590</v>
      </c>
      <c r="D69" s="104">
        <f>'Table 4 Formula'!U69</f>
        <v>3694.49</v>
      </c>
      <c r="E69" s="305">
        <f>'Table 4 Formula'!V69</f>
        <v>3020</v>
      </c>
      <c r="F69" s="103">
        <f>'Table 4 Formula'!W69</f>
        <v>11157360</v>
      </c>
      <c r="G69" s="103">
        <f>'Table 4 Formula'!AA69</f>
        <v>1951418.2636280989</v>
      </c>
      <c r="H69" s="103">
        <f>'Table 4 Formula'!AC69</f>
        <v>9205941.7363719</v>
      </c>
      <c r="I69" s="103">
        <f>'Table 4 Formula'!AF69</f>
        <v>0</v>
      </c>
      <c r="J69" s="105">
        <f>'Table 4 Formula'!AG69</f>
        <v>-168234.26362809888</v>
      </c>
      <c r="K69" s="103">
        <f>'Table 4 Formula'!AI69</f>
        <v>0</v>
      </c>
      <c r="L69" s="77">
        <f t="shared" si="0"/>
        <v>0</v>
      </c>
      <c r="M69" s="103">
        <f>'Table 4 Formula'!AJ69</f>
        <v>0</v>
      </c>
      <c r="N69" s="103">
        <f>'Table 4 Formula'!AN69</f>
        <v>9205941.7363719</v>
      </c>
      <c r="O69" s="105">
        <f>'Table 4 Formula'!AU69</f>
        <v>379259.7394</v>
      </c>
      <c r="P69" s="77">
        <f t="shared" si="1"/>
        <v>1</v>
      </c>
      <c r="Q69" s="103">
        <f>'Table 4 Formula'!AV69</f>
        <v>0</v>
      </c>
      <c r="R69" s="77">
        <f t="shared" si="2"/>
        <v>0</v>
      </c>
      <c r="S69" s="103">
        <f>'Table 4 Formula'!BA69</f>
        <v>9205941.7394</v>
      </c>
      <c r="T69" s="103">
        <f>'Table 4 Formula'!BB69</f>
        <v>3554.42</v>
      </c>
    </row>
    <row r="70" spans="1:20" ht="12.75">
      <c r="A70" s="76">
        <v>63</v>
      </c>
      <c r="B70" s="77" t="s">
        <v>69</v>
      </c>
      <c r="C70" s="104">
        <f>'Table 4 Formula'!C70</f>
        <v>2224</v>
      </c>
      <c r="D70" s="104">
        <f>'Table 4 Formula'!U70</f>
        <v>3264.24</v>
      </c>
      <c r="E70" s="305">
        <f>'Table 4 Formula'!V70</f>
        <v>3020</v>
      </c>
      <c r="F70" s="103">
        <f>'Table 4 Formula'!W70</f>
        <v>9858005</v>
      </c>
      <c r="G70" s="103">
        <f>'Table 4 Formula'!AA70</f>
        <v>9858005</v>
      </c>
      <c r="H70" s="103">
        <f>'Table 4 Formula'!AC70</f>
        <v>0</v>
      </c>
      <c r="I70" s="103">
        <f>'Table 4 Formula'!AF70</f>
        <v>0</v>
      </c>
      <c r="J70" s="105">
        <f>'Table 4 Formula'!AG70</f>
        <v>-115285</v>
      </c>
      <c r="K70" s="103">
        <f>'Table 4 Formula'!AI70</f>
        <v>0</v>
      </c>
      <c r="L70" s="77">
        <f t="shared" si="0"/>
        <v>0</v>
      </c>
      <c r="M70" s="103">
        <f>'Table 4 Formula'!AJ70</f>
        <v>0</v>
      </c>
      <c r="N70" s="103">
        <f>'Table 4 Formula'!AN70</f>
        <v>0</v>
      </c>
      <c r="O70" s="105">
        <f>'Table 4 Formula'!AU70</f>
        <v>0</v>
      </c>
      <c r="P70" s="77">
        <f t="shared" si="1"/>
        <v>0</v>
      </c>
      <c r="Q70" s="103">
        <f>'Table 4 Formula'!AV70</f>
        <v>6767444</v>
      </c>
      <c r="R70" s="77">
        <f t="shared" si="2"/>
        <v>1</v>
      </c>
      <c r="S70" s="103">
        <f>'Table 4 Formula'!BA70</f>
        <v>6767444</v>
      </c>
      <c r="T70" s="103">
        <f>'Table 4 Formula'!BB70</f>
        <v>3042.92</v>
      </c>
    </row>
    <row r="71" spans="1:20" ht="12.75">
      <c r="A71" s="76">
        <v>64</v>
      </c>
      <c r="B71" s="77" t="s">
        <v>70</v>
      </c>
      <c r="C71" s="104">
        <f>'Table 4 Formula'!C71</f>
        <v>2938</v>
      </c>
      <c r="D71" s="104">
        <f>'Table 4 Formula'!U71</f>
        <v>4189.28</v>
      </c>
      <c r="E71" s="305">
        <f>'Table 4 Formula'!V71</f>
        <v>3020</v>
      </c>
      <c r="F71" s="103">
        <f>'Table 4 Formula'!W71</f>
        <v>12651626</v>
      </c>
      <c r="G71" s="103">
        <f>'Table 4 Formula'!AA71</f>
        <v>3146589.387451384</v>
      </c>
      <c r="H71" s="103">
        <f>'Table 4 Formula'!AC71</f>
        <v>9505036.612548616</v>
      </c>
      <c r="I71" s="103">
        <f>'Table 4 Formula'!AF71</f>
        <v>1758562.6125486158</v>
      </c>
      <c r="J71" s="105">
        <f>'Table 4 Formula'!AG71</f>
        <v>0</v>
      </c>
      <c r="K71" s="103">
        <f>'Table 4 Formula'!AI71</f>
        <v>1758562.6125486158</v>
      </c>
      <c r="L71" s="77">
        <f t="shared" si="0"/>
        <v>1</v>
      </c>
      <c r="M71" s="103">
        <f>'Table 4 Formula'!AJ71</f>
        <v>1008780.7913734447</v>
      </c>
      <c r="N71" s="103">
        <f>'Table 4 Formula'!AN71</f>
        <v>10513817.40392206</v>
      </c>
      <c r="O71" s="105">
        <f>'Table 4 Formula'!AU71</f>
        <v>54863.4183</v>
      </c>
      <c r="P71" s="77">
        <f t="shared" si="1"/>
        <v>1</v>
      </c>
      <c r="Q71" s="103">
        <f>'Table 4 Formula'!AV71</f>
        <v>0</v>
      </c>
      <c r="R71" s="77">
        <f t="shared" si="2"/>
        <v>0</v>
      </c>
      <c r="S71" s="103">
        <f>'Table 4 Formula'!BA71</f>
        <v>10513817.4183</v>
      </c>
      <c r="T71" s="103">
        <f>'Table 4 Formula'!BB71</f>
        <v>3578.56</v>
      </c>
    </row>
    <row r="72" spans="1:20" ht="12.75">
      <c r="A72" s="76">
        <v>65</v>
      </c>
      <c r="B72" s="77" t="s">
        <v>71</v>
      </c>
      <c r="C72" s="104">
        <f>'Table 4 Formula'!C72</f>
        <v>10188</v>
      </c>
      <c r="D72" s="104">
        <f>'Table 4 Formula'!U72</f>
        <v>13699.09</v>
      </c>
      <c r="E72" s="305">
        <f>'Table 4 Formula'!V72</f>
        <v>3020</v>
      </c>
      <c r="F72" s="103">
        <f>'Table 4 Formula'!W72</f>
        <v>41371252</v>
      </c>
      <c r="G72" s="103">
        <f>'Table 4 Formula'!AA72</f>
        <v>17907401.526631568</v>
      </c>
      <c r="H72" s="103">
        <f>'Table 4 Formula'!AC72</f>
        <v>23463850.473368432</v>
      </c>
      <c r="I72" s="103">
        <f>'Table 4 Formula'!AF72</f>
        <v>3870319.4733684324</v>
      </c>
      <c r="J72" s="105">
        <f>'Table 4 Formula'!AG72</f>
        <v>0</v>
      </c>
      <c r="K72" s="103">
        <f>'Table 4 Formula'!AI72</f>
        <v>3870319.4733684324</v>
      </c>
      <c r="L72" s="77">
        <f t="shared" si="0"/>
        <v>1</v>
      </c>
      <c r="M72" s="103">
        <f>'Table 4 Formula'!AJ72</f>
        <v>998454.8233180953</v>
      </c>
      <c r="N72" s="103">
        <f>'Table 4 Formula'!AN72</f>
        <v>24462305.296686526</v>
      </c>
      <c r="O72" s="105">
        <f>'Table 4 Formula'!AU72</f>
        <v>-150210.88</v>
      </c>
      <c r="P72" s="77">
        <f t="shared" si="1"/>
        <v>0</v>
      </c>
      <c r="Q72" s="103">
        <f>'Table 4 Formula'!AV72</f>
        <v>218022.79249999672</v>
      </c>
      <c r="R72" s="77">
        <f t="shared" si="2"/>
        <v>1</v>
      </c>
      <c r="S72" s="103">
        <f>'Table 4 Formula'!BA72</f>
        <v>24680328.119999997</v>
      </c>
      <c r="T72" s="103">
        <f>'Table 4 Formula'!BB72</f>
        <v>2422.49</v>
      </c>
    </row>
    <row r="73" spans="1:20" ht="12.75">
      <c r="A73" s="76">
        <v>66</v>
      </c>
      <c r="B73" s="77" t="s">
        <v>72</v>
      </c>
      <c r="C73" s="104">
        <f>'Table 4 Formula'!C73</f>
        <v>3090</v>
      </c>
      <c r="D73" s="104">
        <f>'Table 4 Formula'!U73</f>
        <v>4859.9400000000005</v>
      </c>
      <c r="E73" s="305">
        <f>'Table 4 Formula'!V73</f>
        <v>3020</v>
      </c>
      <c r="F73" s="103">
        <f>'Table 4 Formula'!W73</f>
        <v>14677019</v>
      </c>
      <c r="G73" s="103">
        <f>'Table 4 Formula'!AA73</f>
        <v>3604240.570845383</v>
      </c>
      <c r="H73" s="103">
        <f>'Table 4 Formula'!AC73</f>
        <v>11072778.429154616</v>
      </c>
      <c r="I73" s="103">
        <f>'Table 4 Formula'!AF73</f>
        <v>547524.4291546168</v>
      </c>
      <c r="J73" s="105">
        <f>'Table 4 Formula'!AG73</f>
        <v>0</v>
      </c>
      <c r="K73" s="103">
        <f>'Table 4 Formula'!AI73</f>
        <v>547524.4291546168</v>
      </c>
      <c r="L73" s="77">
        <f>IF(K73&gt;0,1,0)</f>
        <v>1</v>
      </c>
      <c r="M73" s="103">
        <f>'Table 4 Formula'!AJ73</f>
        <v>317028.8345644138</v>
      </c>
      <c r="N73" s="103">
        <f>'Table 4 Formula'!AN73</f>
        <v>11389807.26371903</v>
      </c>
      <c r="O73" s="105">
        <f>'Table 4 Formula'!AU73</f>
        <v>527769.2693</v>
      </c>
      <c r="P73" s="77">
        <f>IF(O73&gt;0,1,0)</f>
        <v>1</v>
      </c>
      <c r="Q73" s="103">
        <f>'Table 4 Formula'!AV73</f>
        <v>0</v>
      </c>
      <c r="R73" s="77">
        <f>IF(Q73&gt;0,1,0)</f>
        <v>0</v>
      </c>
      <c r="S73" s="103">
        <f>'Table 4 Formula'!BA73</f>
        <v>11389807.2693</v>
      </c>
      <c r="T73" s="103">
        <f>'Table 4 Formula'!BB73</f>
        <v>3686.02</v>
      </c>
    </row>
    <row r="74" spans="1:20" ht="12.75">
      <c r="A74" s="71"/>
      <c r="B74" s="72"/>
      <c r="C74" s="72"/>
      <c r="D74" s="73"/>
      <c r="E74" s="307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ht="13.5" thickBot="1">
      <c r="A75" s="87"/>
      <c r="B75" s="88" t="s">
        <v>73</v>
      </c>
      <c r="C75" s="91">
        <f>SUM(C8:C73)</f>
        <v>740006</v>
      </c>
      <c r="D75" s="91">
        <f>SUM(D8:D73)</f>
        <v>993122.8999999999</v>
      </c>
      <c r="E75" s="308">
        <f>'Table 4 Formula'!V75</f>
        <v>3020</v>
      </c>
      <c r="F75" s="109">
        <f>SUM(F8:F73)</f>
        <v>2999231162</v>
      </c>
      <c r="G75" s="109">
        <f>SUM(G8:G73)</f>
        <v>1049661889.9426823</v>
      </c>
      <c r="H75" s="109">
        <f>SUM(H8:H73)</f>
        <v>1949569272.057317</v>
      </c>
      <c r="I75" s="109">
        <f>SUM(I8:I73)</f>
        <v>521900970.33674073</v>
      </c>
      <c r="J75" s="114">
        <f>SUM(J8:J73)</f>
        <v>-3345030.2794236783</v>
      </c>
      <c r="K75" s="109">
        <f aca="true" t="shared" si="3" ref="K75:S75">SUM(K8:K73)</f>
        <v>503761065.3517196</v>
      </c>
      <c r="L75" s="88">
        <f t="shared" si="3"/>
        <v>58</v>
      </c>
      <c r="M75" s="109">
        <f t="shared" si="3"/>
        <v>191177182.9806018</v>
      </c>
      <c r="N75" s="109">
        <f t="shared" si="3"/>
        <v>2140746455.0379186</v>
      </c>
      <c r="O75" s="109">
        <f t="shared" si="3"/>
        <v>53907068.02219997</v>
      </c>
      <c r="P75" s="88">
        <f t="shared" si="3"/>
        <v>46</v>
      </c>
      <c r="Q75" s="109">
        <f t="shared" si="3"/>
        <v>98119853.57079998</v>
      </c>
      <c r="R75" s="88">
        <f t="shared" si="3"/>
        <v>12</v>
      </c>
      <c r="S75" s="109">
        <f t="shared" si="3"/>
        <v>2238866308.0222</v>
      </c>
      <c r="T75" s="89">
        <f>'Table 4 Formula'!BB75</f>
        <v>3025.47</v>
      </c>
    </row>
    <row r="76" spans="19:20" ht="13.5" thickTop="1">
      <c r="S76" s="9"/>
      <c r="T76" s="9"/>
    </row>
    <row r="80" ht="12.75">
      <c r="P80" s="9"/>
    </row>
    <row r="81" ht="12.75">
      <c r="P81" s="9"/>
    </row>
    <row r="82" ht="12.75">
      <c r="P82" s="9"/>
    </row>
    <row r="83" ht="12.75">
      <c r="P83" s="9"/>
    </row>
    <row r="84" ht="12.75">
      <c r="P84" s="9"/>
    </row>
    <row r="85" ht="12.75">
      <c r="P85" s="9"/>
    </row>
    <row r="86" ht="12.75">
      <c r="P86" s="9"/>
    </row>
    <row r="87" ht="12.75">
      <c r="P87" s="9"/>
    </row>
    <row r="88" ht="12.75">
      <c r="P88" s="9"/>
    </row>
    <row r="89" ht="12.75">
      <c r="P89" s="9"/>
    </row>
    <row r="90" ht="12.75">
      <c r="P90" s="9"/>
    </row>
    <row r="91" ht="12.75">
      <c r="P91" s="9"/>
    </row>
    <row r="92" ht="12.75">
      <c r="P92" s="9"/>
    </row>
    <row r="93" ht="12.75">
      <c r="P93" s="9"/>
    </row>
    <row r="94" ht="12.75">
      <c r="P94" s="9"/>
    </row>
    <row r="95" ht="12.75">
      <c r="P95" s="9"/>
    </row>
    <row r="96" ht="12.75">
      <c r="P96" s="9"/>
    </row>
    <row r="97" ht="12.75">
      <c r="P97" s="9"/>
    </row>
    <row r="98" ht="12.75">
      <c r="P98" s="9"/>
    </row>
    <row r="99" ht="12.75">
      <c r="P99" s="9"/>
    </row>
    <row r="100" ht="12.75">
      <c r="P100" s="9"/>
    </row>
    <row r="101" ht="12.75">
      <c r="P101" s="9"/>
    </row>
    <row r="102" ht="12.75">
      <c r="P102" s="9"/>
    </row>
    <row r="103" ht="12.75">
      <c r="P103" s="9"/>
    </row>
    <row r="104" ht="12.75">
      <c r="P104" s="9"/>
    </row>
    <row r="105" ht="12.75">
      <c r="P105" s="9"/>
    </row>
    <row r="106" ht="12.75">
      <c r="P106" s="9"/>
    </row>
    <row r="107" ht="12.75">
      <c r="P107" s="9"/>
    </row>
    <row r="108" ht="12.75">
      <c r="P108" s="9"/>
    </row>
    <row r="109" ht="12.75">
      <c r="P109" s="9"/>
    </row>
    <row r="110" ht="12.75">
      <c r="P110" s="9"/>
    </row>
    <row r="111" ht="12.75">
      <c r="P111" s="9"/>
    </row>
    <row r="112" ht="12.75">
      <c r="P112" s="9"/>
    </row>
    <row r="113" ht="12.75">
      <c r="P113" s="9"/>
    </row>
    <row r="114" ht="12.75">
      <c r="P114" s="9"/>
    </row>
    <row r="115" ht="12.75">
      <c r="P115" s="9"/>
    </row>
    <row r="116" ht="12.75">
      <c r="P116" s="9"/>
    </row>
    <row r="117" ht="12.75">
      <c r="P117" s="9"/>
    </row>
    <row r="118" ht="12.75">
      <c r="P118" s="9"/>
    </row>
    <row r="119" ht="12.75">
      <c r="P119" s="9"/>
    </row>
    <row r="120" ht="12.75">
      <c r="P120" s="9"/>
    </row>
    <row r="121" ht="12.75">
      <c r="P121" s="9"/>
    </row>
    <row r="122" ht="12.75">
      <c r="P122" s="9"/>
    </row>
    <row r="123" ht="12.75">
      <c r="P123" s="9"/>
    </row>
    <row r="124" ht="12.75">
      <c r="P124" s="9"/>
    </row>
    <row r="125" ht="12.75">
      <c r="P125" s="9"/>
    </row>
    <row r="126" ht="12.75">
      <c r="P126" s="9"/>
    </row>
    <row r="127" ht="12.75">
      <c r="P127" s="9"/>
    </row>
    <row r="128" ht="12.75">
      <c r="P128" s="9"/>
    </row>
    <row r="129" ht="12.75">
      <c r="P129" s="9"/>
    </row>
    <row r="130" ht="12.75">
      <c r="P130" s="9"/>
    </row>
    <row r="131" ht="12.75">
      <c r="P131" s="9"/>
    </row>
    <row r="132" ht="12.75">
      <c r="P132" s="9"/>
    </row>
    <row r="133" ht="12.75">
      <c r="P133" s="9"/>
    </row>
    <row r="134" ht="12.75">
      <c r="P134" s="9"/>
    </row>
    <row r="135" ht="12.75">
      <c r="P135" s="9"/>
    </row>
    <row r="136" ht="12.75">
      <c r="P136" s="9"/>
    </row>
    <row r="137" ht="12.75">
      <c r="P137" s="9"/>
    </row>
    <row r="138" ht="12.75">
      <c r="P138" s="9"/>
    </row>
    <row r="139" ht="12.75">
      <c r="P139" s="9"/>
    </row>
    <row r="140" ht="12.75">
      <c r="P140" s="9"/>
    </row>
    <row r="141" ht="12.75">
      <c r="P141" s="9"/>
    </row>
    <row r="142" ht="12.75">
      <c r="P142" s="9"/>
    </row>
    <row r="143" ht="12.75">
      <c r="P143" s="9"/>
    </row>
    <row r="144" ht="12.75">
      <c r="P144" s="9"/>
    </row>
    <row r="145" ht="12.75">
      <c r="P145" s="9"/>
    </row>
    <row r="147" ht="12.75">
      <c r="P147" s="9"/>
    </row>
  </sheetData>
  <sheetProtection sheet="1" objects="1" scenarios="1"/>
  <mergeCells count="3">
    <mergeCell ref="C1:H1"/>
    <mergeCell ref="I1:N1"/>
    <mergeCell ref="O1:T1"/>
  </mergeCells>
  <printOptions/>
  <pageMargins left="0.46" right="0.29" top="0.42" bottom="0.23" header="0.18" footer="0.2"/>
  <pageSetup firstPageNumber="2" useFirstPageNumber="1" horizontalDpi="600" verticalDpi="600" orientation="portrait" paperSize="5" scale="85" r:id="rId1"/>
  <headerFooter alignWithMargins="0">
    <oddHeader>&amp;RCircular 1061</oddHeader>
    <oddFooter>&amp;L&amp;F,&amp;D&amp;CPrepared by Division of Education Finance&amp;RPage &amp;P</oddFooter>
  </headerFooter>
  <colBreaks count="2" manualBreakCount="2">
    <brk id="8" max="65535" man="1"/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38">
      <selection activeCell="E76" sqref="E76"/>
    </sheetView>
  </sheetViews>
  <sheetFormatPr defaultColWidth="12.57421875" defaultRowHeight="12.75"/>
  <cols>
    <col min="1" max="1" width="4.8515625" style="3" customWidth="1"/>
    <col min="2" max="2" width="22.421875" style="3" customWidth="1"/>
    <col min="3" max="3" width="17.8515625" style="3" customWidth="1"/>
    <col min="4" max="4" width="14.57421875" style="3" customWidth="1"/>
    <col min="5" max="5" width="18.00390625" style="3" customWidth="1"/>
    <col min="6" max="6" width="20.140625" style="3" customWidth="1"/>
    <col min="7" max="7" width="17.00390625" style="3" customWidth="1"/>
    <col min="8" max="8" width="18.8515625" style="3" customWidth="1"/>
    <col min="9" max="9" width="16.8515625" style="3" customWidth="1"/>
    <col min="10" max="10" width="17.140625" style="3" customWidth="1"/>
    <col min="11" max="11" width="20.00390625" style="3" hidden="1" customWidth="1"/>
    <col min="12" max="12" width="16.421875" style="3" hidden="1" customWidth="1"/>
    <col min="13" max="13" width="0.13671875" style="3" hidden="1" customWidth="1"/>
    <col min="14" max="14" width="17.57421875" style="3" hidden="1" customWidth="1"/>
    <col min="15" max="15" width="17.7109375" style="3" hidden="1" customWidth="1"/>
    <col min="16" max="16" width="2.57421875" style="3" hidden="1" customWidth="1"/>
    <col min="17" max="17" width="12.57421875" style="3" customWidth="1"/>
    <col min="18" max="16384" width="12.57421875" style="3" customWidth="1"/>
  </cols>
  <sheetData>
    <row r="1" spans="1:15" s="132" customFormat="1" ht="23.25">
      <c r="A1" s="329"/>
      <c r="B1" s="330">
        <f ca="1">NOW()</f>
        <v>41261.844565162035</v>
      </c>
      <c r="C1" s="385" t="s">
        <v>549</v>
      </c>
      <c r="D1" s="385"/>
      <c r="E1" s="385"/>
      <c r="F1" s="385"/>
      <c r="G1" s="385"/>
      <c r="H1" s="385" t="s">
        <v>662</v>
      </c>
      <c r="I1" s="385"/>
      <c r="J1" s="385"/>
      <c r="K1" s="385"/>
      <c r="L1" s="385"/>
      <c r="M1" s="385"/>
      <c r="N1" s="385"/>
      <c r="O1" s="385"/>
    </row>
    <row r="2" spans="1:16" s="332" customFormat="1" ht="23.25">
      <c r="A2" s="331"/>
      <c r="C2" s="385" t="s">
        <v>547</v>
      </c>
      <c r="D2" s="385"/>
      <c r="E2" s="385"/>
      <c r="F2" s="385"/>
      <c r="G2" s="385"/>
      <c r="H2" s="386"/>
      <c r="I2" s="386"/>
      <c r="J2" s="386"/>
      <c r="K2" s="386"/>
      <c r="L2" s="386"/>
      <c r="M2" s="386"/>
      <c r="N2" s="386"/>
      <c r="O2" s="386"/>
      <c r="P2" s="333"/>
    </row>
    <row r="3" spans="1:16" s="22" customFormat="1" ht="27" customHeight="1">
      <c r="A3" s="20"/>
      <c r="C3" s="373"/>
      <c r="D3" s="373"/>
      <c r="E3" s="373"/>
      <c r="F3" s="373"/>
      <c r="G3" s="373"/>
      <c r="H3" s="374"/>
      <c r="I3" s="374"/>
      <c r="J3" s="374"/>
      <c r="K3" s="374"/>
      <c r="L3" s="374"/>
      <c r="M3" s="374"/>
      <c r="N3" s="374"/>
      <c r="O3" s="374"/>
      <c r="P3" s="21"/>
    </row>
    <row r="4" spans="1:23" ht="12" customHeight="1">
      <c r="A4" s="16"/>
      <c r="B4" s="16"/>
      <c r="C4" s="16"/>
      <c r="D4" s="16"/>
      <c r="E4" s="16"/>
      <c r="F4" s="16"/>
      <c r="G4" s="322" t="s">
        <v>379</v>
      </c>
      <c r="H4" s="323"/>
      <c r="I4" s="322" t="s">
        <v>199</v>
      </c>
      <c r="J4" s="322" t="s">
        <v>200</v>
      </c>
      <c r="K4" s="322" t="s">
        <v>201</v>
      </c>
      <c r="L4" s="322" t="s">
        <v>202</v>
      </c>
      <c r="M4" s="322" t="s">
        <v>203</v>
      </c>
      <c r="N4" s="323"/>
      <c r="O4" s="324" t="s">
        <v>642</v>
      </c>
      <c r="P4" s="323"/>
      <c r="Q4" s="323"/>
      <c r="R4" s="323"/>
      <c r="S4" s="323"/>
      <c r="T4" s="323"/>
      <c r="U4" s="323"/>
      <c r="V4" s="323"/>
      <c r="W4" s="323"/>
    </row>
    <row r="5" spans="1:16" ht="7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34.5" customHeight="1">
      <c r="A6" s="33"/>
      <c r="B6" s="34"/>
      <c r="C6" s="380" t="s">
        <v>286</v>
      </c>
      <c r="D6" s="376" t="s">
        <v>639</v>
      </c>
      <c r="E6" s="377"/>
      <c r="F6" s="378" t="s">
        <v>285</v>
      </c>
      <c r="G6" s="378" t="s">
        <v>287</v>
      </c>
      <c r="H6" s="378" t="s">
        <v>288</v>
      </c>
      <c r="I6" s="378" t="s">
        <v>289</v>
      </c>
      <c r="J6" s="383" t="s">
        <v>290</v>
      </c>
      <c r="K6" s="370" t="s">
        <v>641</v>
      </c>
      <c r="L6" s="370" t="s">
        <v>291</v>
      </c>
      <c r="M6" s="372" t="s">
        <v>292</v>
      </c>
      <c r="N6" s="372" t="s">
        <v>643</v>
      </c>
      <c r="O6" s="370" t="s">
        <v>640</v>
      </c>
      <c r="P6" s="370" t="s">
        <v>293</v>
      </c>
    </row>
    <row r="7" spans="1:16" ht="50.25" customHeight="1">
      <c r="A7" s="35"/>
      <c r="B7" s="36" t="s">
        <v>204</v>
      </c>
      <c r="C7" s="381"/>
      <c r="D7" s="315" t="s">
        <v>205</v>
      </c>
      <c r="E7" s="24" t="s">
        <v>206</v>
      </c>
      <c r="F7" s="379"/>
      <c r="G7" s="382"/>
      <c r="H7" s="371"/>
      <c r="I7" s="371"/>
      <c r="J7" s="384"/>
      <c r="K7" s="371"/>
      <c r="L7" s="371"/>
      <c r="M7" s="371"/>
      <c r="N7" s="371"/>
      <c r="O7" s="371"/>
      <c r="P7" s="371"/>
    </row>
    <row r="8" spans="1:16" ht="14.25" customHeight="1">
      <c r="A8" s="37"/>
      <c r="B8" s="38"/>
      <c r="C8" s="32" t="s">
        <v>207</v>
      </c>
      <c r="D8" s="25" t="s">
        <v>377</v>
      </c>
      <c r="E8" s="25" t="s">
        <v>378</v>
      </c>
      <c r="F8" s="133" t="s">
        <v>208</v>
      </c>
      <c r="G8" s="31" t="s">
        <v>209</v>
      </c>
      <c r="H8" s="316" t="s">
        <v>210</v>
      </c>
      <c r="I8" s="317" t="s">
        <v>211</v>
      </c>
      <c r="J8" s="318" t="s">
        <v>212</v>
      </c>
      <c r="K8" s="317" t="s">
        <v>213</v>
      </c>
      <c r="L8" s="317" t="s">
        <v>214</v>
      </c>
      <c r="M8" s="317" t="s">
        <v>215</v>
      </c>
      <c r="N8" s="319" t="s">
        <v>213</v>
      </c>
      <c r="O8" s="320" t="s">
        <v>214</v>
      </c>
      <c r="P8" s="321"/>
    </row>
    <row r="9" spans="1:20" ht="12.75">
      <c r="A9" s="23">
        <v>1</v>
      </c>
      <c r="B9" s="23" t="s">
        <v>218</v>
      </c>
      <c r="C9" s="170">
        <f>'Table 4 Formula'!BA8</f>
        <v>33054092.1304</v>
      </c>
      <c r="D9" s="167">
        <v>0</v>
      </c>
      <c r="E9" s="26">
        <v>-2623</v>
      </c>
      <c r="F9" s="26">
        <v>-221255</v>
      </c>
      <c r="G9" s="50">
        <f>SUM(C9+D9+E9+F9)</f>
        <v>32830214.1304</v>
      </c>
      <c r="H9" s="26">
        <v>21998947</v>
      </c>
      <c r="I9" s="26">
        <f>SUM(G9-H9)</f>
        <v>10831267.130399998</v>
      </c>
      <c r="J9" s="50">
        <f aca="true" t="shared" si="0" ref="J9:J72">ROUND(I9/4,0)</f>
        <v>2707817</v>
      </c>
      <c r="K9" s="26">
        <f aca="true" t="shared" si="1" ref="K9:K72">ROUND(H9/8,0)</f>
        <v>2749868</v>
      </c>
      <c r="L9" s="26">
        <f aca="true" t="shared" si="2" ref="L9:L40">J9-K9</f>
        <v>-42051</v>
      </c>
      <c r="M9" s="26">
        <f aca="true" t="shared" si="3" ref="M9:M72">G9</f>
        <v>32830214.1304</v>
      </c>
      <c r="N9" s="50">
        <v>32993149</v>
      </c>
      <c r="O9" s="26">
        <f>G9-N9</f>
        <v>-162934.86960000172</v>
      </c>
      <c r="P9" s="39">
        <f aca="true" t="shared" si="4" ref="P9:P72">O9/N9</f>
        <v>-0.004938445542133663</v>
      </c>
      <c r="Q9" s="17"/>
      <c r="R9" s="17"/>
      <c r="S9" s="17"/>
      <c r="T9" s="17"/>
    </row>
    <row r="10" spans="1:20" ht="12.75">
      <c r="A10" s="23">
        <v>2</v>
      </c>
      <c r="B10" s="23" t="s">
        <v>219</v>
      </c>
      <c r="C10" s="170">
        <f>'Table 4 Formula'!BA9</f>
        <v>15977798.9941</v>
      </c>
      <c r="D10" s="167">
        <v>0</v>
      </c>
      <c r="E10" s="26">
        <v>-4712</v>
      </c>
      <c r="F10" s="26">
        <v>-105317</v>
      </c>
      <c r="G10" s="50">
        <f aca="true" t="shared" si="5" ref="G10:G73">SUM(C10+D10+E10+F10)</f>
        <v>15867769.9941</v>
      </c>
      <c r="H10" s="26">
        <v>10588062</v>
      </c>
      <c r="I10" s="26">
        <f aca="true" t="shared" si="6" ref="I10:I73">SUM(G10-H10)</f>
        <v>5279707.994100001</v>
      </c>
      <c r="J10" s="50">
        <f t="shared" si="0"/>
        <v>1319927</v>
      </c>
      <c r="K10" s="26">
        <f t="shared" si="1"/>
        <v>1323508</v>
      </c>
      <c r="L10" s="26">
        <f t="shared" si="2"/>
        <v>-3581</v>
      </c>
      <c r="M10" s="26">
        <f t="shared" si="3"/>
        <v>15867769.9941</v>
      </c>
      <c r="N10" s="50">
        <v>15884978</v>
      </c>
      <c r="O10" s="26">
        <f aca="true" t="shared" si="7" ref="O10:O73">G10-N10</f>
        <v>-17208.00589999929</v>
      </c>
      <c r="P10" s="40">
        <f t="shared" si="4"/>
        <v>-0.0010832879907041288</v>
      </c>
      <c r="Q10" s="17"/>
      <c r="R10" s="17"/>
      <c r="S10" s="17"/>
      <c r="T10" s="17"/>
    </row>
    <row r="11" spans="1:20" ht="12.75">
      <c r="A11" s="23">
        <v>3</v>
      </c>
      <c r="B11" s="23" t="s">
        <v>220</v>
      </c>
      <c r="C11" s="170">
        <f>'Table 4 Formula'!BA10</f>
        <v>36863857</v>
      </c>
      <c r="D11" s="167">
        <v>0</v>
      </c>
      <c r="E11" s="26">
        <v>-14767</v>
      </c>
      <c r="F11" s="26">
        <v>-383173</v>
      </c>
      <c r="G11" s="50">
        <f t="shared" si="5"/>
        <v>36465917</v>
      </c>
      <c r="H11" s="26">
        <v>24311925</v>
      </c>
      <c r="I11" s="26">
        <f t="shared" si="6"/>
        <v>12153992</v>
      </c>
      <c r="J11" s="50">
        <f t="shared" si="0"/>
        <v>3038498</v>
      </c>
      <c r="K11" s="26">
        <f t="shared" si="1"/>
        <v>3038991</v>
      </c>
      <c r="L11" s="26">
        <f t="shared" si="2"/>
        <v>-493</v>
      </c>
      <c r="M11" s="26">
        <f t="shared" si="3"/>
        <v>36465917</v>
      </c>
      <c r="N11" s="50">
        <v>36480137</v>
      </c>
      <c r="O11" s="26">
        <f t="shared" si="7"/>
        <v>-14220</v>
      </c>
      <c r="P11" s="40">
        <f t="shared" si="4"/>
        <v>-0.0003898011676875007</v>
      </c>
      <c r="Q11" s="17"/>
      <c r="R11" s="17"/>
      <c r="S11" s="17"/>
      <c r="T11" s="17"/>
    </row>
    <row r="12" spans="1:20" ht="12.75">
      <c r="A12" s="23">
        <v>4</v>
      </c>
      <c r="B12" s="23" t="s">
        <v>221</v>
      </c>
      <c r="C12" s="170">
        <f>'Table 4 Formula'!BA11</f>
        <v>18131879.0129</v>
      </c>
      <c r="D12" s="167">
        <v>0</v>
      </c>
      <c r="E12" s="26">
        <v>-5093</v>
      </c>
      <c r="F12" s="26">
        <v>-118503</v>
      </c>
      <c r="G12" s="50">
        <f t="shared" si="5"/>
        <v>18008283.0129</v>
      </c>
      <c r="H12" s="26">
        <v>12051642</v>
      </c>
      <c r="I12" s="26">
        <f t="shared" si="6"/>
        <v>5956641.012899999</v>
      </c>
      <c r="J12" s="50">
        <f t="shared" si="0"/>
        <v>1489160</v>
      </c>
      <c r="K12" s="26">
        <f t="shared" si="1"/>
        <v>1506455</v>
      </c>
      <c r="L12" s="26">
        <f t="shared" si="2"/>
        <v>-17295</v>
      </c>
      <c r="M12" s="26">
        <f t="shared" si="3"/>
        <v>18008283.0129</v>
      </c>
      <c r="N12" s="50">
        <v>18075364</v>
      </c>
      <c r="O12" s="26">
        <f t="shared" si="7"/>
        <v>-67080.98710000142</v>
      </c>
      <c r="P12" s="40">
        <f t="shared" si="4"/>
        <v>-0.003711183193876562</v>
      </c>
      <c r="Q12" s="17"/>
      <c r="R12" s="17"/>
      <c r="S12" s="17"/>
      <c r="T12" s="17"/>
    </row>
    <row r="13" spans="1:20" ht="12.75">
      <c r="A13" s="42">
        <v>5</v>
      </c>
      <c r="B13" s="43" t="s">
        <v>222</v>
      </c>
      <c r="C13" s="171">
        <f>'Table 4 Formula'!BA12</f>
        <v>23522696.505</v>
      </c>
      <c r="D13" s="165">
        <v>0</v>
      </c>
      <c r="E13" s="44">
        <v>-23601</v>
      </c>
      <c r="F13" s="44">
        <v>-139954</v>
      </c>
      <c r="G13" s="52">
        <f t="shared" si="5"/>
        <v>23359141.505</v>
      </c>
      <c r="H13" s="44">
        <v>16025056</v>
      </c>
      <c r="I13" s="44">
        <f t="shared" si="6"/>
        <v>7334085.504999999</v>
      </c>
      <c r="J13" s="52">
        <f t="shared" si="0"/>
        <v>1833521</v>
      </c>
      <c r="K13" s="44">
        <f t="shared" si="1"/>
        <v>2003132</v>
      </c>
      <c r="L13" s="44">
        <f t="shared" si="2"/>
        <v>-169611</v>
      </c>
      <c r="M13" s="44">
        <f t="shared" si="3"/>
        <v>23359141.505</v>
      </c>
      <c r="N13" s="52">
        <v>24038972</v>
      </c>
      <c r="O13" s="44">
        <f t="shared" si="7"/>
        <v>-679830.495000001</v>
      </c>
      <c r="P13" s="45">
        <f t="shared" si="4"/>
        <v>-0.028280348053153066</v>
      </c>
      <c r="Q13" s="17"/>
      <c r="R13" s="17"/>
      <c r="S13" s="17"/>
      <c r="T13" s="17"/>
    </row>
    <row r="14" spans="1:20" ht="12.75">
      <c r="A14" s="23">
        <v>6</v>
      </c>
      <c r="B14" s="23" t="s">
        <v>223</v>
      </c>
      <c r="C14" s="170">
        <f>'Table 4 Formula'!BA13</f>
        <v>19909255.421</v>
      </c>
      <c r="D14" s="166">
        <v>3256</v>
      </c>
      <c r="E14" s="26">
        <v>0</v>
      </c>
      <c r="F14" s="26">
        <v>-157966</v>
      </c>
      <c r="G14" s="50">
        <f t="shared" si="5"/>
        <v>19754545.421</v>
      </c>
      <c r="H14" s="26">
        <v>12978820</v>
      </c>
      <c r="I14" s="26">
        <f t="shared" si="6"/>
        <v>6775725.421</v>
      </c>
      <c r="J14" s="50">
        <f t="shared" si="0"/>
        <v>1693931</v>
      </c>
      <c r="K14" s="26">
        <f t="shared" si="1"/>
        <v>1622353</v>
      </c>
      <c r="L14" s="26">
        <f t="shared" si="2"/>
        <v>71578</v>
      </c>
      <c r="M14" s="26">
        <f t="shared" si="3"/>
        <v>19754545.421</v>
      </c>
      <c r="N14" s="50">
        <v>19460575</v>
      </c>
      <c r="O14" s="26">
        <f t="shared" si="7"/>
        <v>293970.4210000001</v>
      </c>
      <c r="P14" s="40">
        <f t="shared" si="4"/>
        <v>0.015105947331977605</v>
      </c>
      <c r="Q14" s="17"/>
      <c r="R14" s="17"/>
      <c r="S14" s="17"/>
      <c r="T14" s="17"/>
    </row>
    <row r="15" spans="1:20" ht="12.75">
      <c r="A15" s="23">
        <v>7</v>
      </c>
      <c r="B15" s="23" t="s">
        <v>224</v>
      </c>
      <c r="C15" s="170">
        <f>'Table 4 Formula'!BA14</f>
        <v>8100259.0748</v>
      </c>
      <c r="D15" s="167">
        <v>0</v>
      </c>
      <c r="E15" s="26">
        <v>-12770</v>
      </c>
      <c r="F15" s="26">
        <v>-81149</v>
      </c>
      <c r="G15" s="50">
        <f t="shared" si="5"/>
        <v>8006340.0748</v>
      </c>
      <c r="H15" s="26">
        <v>5710922</v>
      </c>
      <c r="I15" s="26">
        <f t="shared" si="6"/>
        <v>2295418.0747999996</v>
      </c>
      <c r="J15" s="50">
        <f t="shared" si="0"/>
        <v>573855</v>
      </c>
      <c r="K15" s="26">
        <f t="shared" si="1"/>
        <v>713865</v>
      </c>
      <c r="L15" s="26">
        <f t="shared" si="2"/>
        <v>-140010</v>
      </c>
      <c r="M15" s="26">
        <f t="shared" si="3"/>
        <v>8006340.0748</v>
      </c>
      <c r="N15" s="50">
        <v>8562952</v>
      </c>
      <c r="O15" s="26">
        <f t="shared" si="7"/>
        <v>-556611.9252000004</v>
      </c>
      <c r="P15" s="40">
        <f t="shared" si="4"/>
        <v>-0.0650023409216822</v>
      </c>
      <c r="Q15" s="17"/>
      <c r="R15" s="17"/>
      <c r="S15" s="17"/>
      <c r="T15" s="17"/>
    </row>
    <row r="16" spans="1:20" ht="12.75">
      <c r="A16" s="23">
        <v>8</v>
      </c>
      <c r="B16" s="23" t="s">
        <v>225</v>
      </c>
      <c r="C16" s="170">
        <f>'Table 4 Formula'!BA15</f>
        <v>54588906.4539</v>
      </c>
      <c r="D16" s="166">
        <v>13105</v>
      </c>
      <c r="E16" s="26">
        <v>0</v>
      </c>
      <c r="F16" s="26">
        <v>-464132</v>
      </c>
      <c r="G16" s="50">
        <f t="shared" si="5"/>
        <v>54137879.4539</v>
      </c>
      <c r="H16" s="26">
        <v>35940394</v>
      </c>
      <c r="I16" s="26">
        <f t="shared" si="6"/>
        <v>18197485.453900002</v>
      </c>
      <c r="J16" s="50">
        <f t="shared" si="0"/>
        <v>4549371</v>
      </c>
      <c r="K16" s="26">
        <f t="shared" si="1"/>
        <v>4492549</v>
      </c>
      <c r="L16" s="26">
        <f t="shared" si="2"/>
        <v>56822</v>
      </c>
      <c r="M16" s="26">
        <f t="shared" si="3"/>
        <v>54137879.4539</v>
      </c>
      <c r="N16" s="50">
        <v>53941780</v>
      </c>
      <c r="O16" s="26">
        <f t="shared" si="7"/>
        <v>196099.45390000194</v>
      </c>
      <c r="P16" s="40">
        <f t="shared" si="4"/>
        <v>0.0036353908584403766</v>
      </c>
      <c r="Q16" s="17"/>
      <c r="R16" s="17"/>
      <c r="S16" s="17"/>
      <c r="T16" s="17"/>
    </row>
    <row r="17" spans="1:20" ht="12.75">
      <c r="A17" s="23">
        <v>9</v>
      </c>
      <c r="B17" s="23" t="s">
        <v>226</v>
      </c>
      <c r="C17" s="170">
        <f>'Table 4 Formula'!BA16</f>
        <v>147914642.8666</v>
      </c>
      <c r="D17" s="166">
        <v>1899</v>
      </c>
      <c r="E17" s="26">
        <v>-12202</v>
      </c>
      <c r="F17" s="26">
        <v>-1266768</v>
      </c>
      <c r="G17" s="50">
        <f t="shared" si="5"/>
        <v>146637571.8666</v>
      </c>
      <c r="H17" s="26">
        <v>100034532</v>
      </c>
      <c r="I17" s="26">
        <f t="shared" si="6"/>
        <v>46603039.86660001</v>
      </c>
      <c r="J17" s="50">
        <f t="shared" si="0"/>
        <v>11650760</v>
      </c>
      <c r="K17" s="26">
        <f t="shared" si="1"/>
        <v>12504317</v>
      </c>
      <c r="L17" s="26">
        <f t="shared" si="2"/>
        <v>-853557</v>
      </c>
      <c r="M17" s="26">
        <f t="shared" si="3"/>
        <v>146637571.8666</v>
      </c>
      <c r="N17" s="50">
        <v>150017772</v>
      </c>
      <c r="O17" s="26">
        <f t="shared" si="7"/>
        <v>-3380200.133399993</v>
      </c>
      <c r="P17" s="40">
        <f t="shared" si="4"/>
        <v>-0.022531997964881076</v>
      </c>
      <c r="Q17" s="17"/>
      <c r="R17" s="17"/>
      <c r="S17" s="17"/>
      <c r="T17" s="17"/>
    </row>
    <row r="18" spans="1:20" ht="12.75">
      <c r="A18" s="42">
        <v>10</v>
      </c>
      <c r="B18" s="43" t="s">
        <v>227</v>
      </c>
      <c r="C18" s="171">
        <f>'Table 4 Formula'!BA17</f>
        <v>78361828.633</v>
      </c>
      <c r="D18" s="165">
        <v>35680</v>
      </c>
      <c r="E18" s="44">
        <v>0</v>
      </c>
      <c r="F18" s="44">
        <v>-838945</v>
      </c>
      <c r="G18" s="52">
        <f t="shared" si="5"/>
        <v>77558563.633</v>
      </c>
      <c r="H18" s="44">
        <v>53514982</v>
      </c>
      <c r="I18" s="44">
        <f t="shared" si="6"/>
        <v>24043581.633</v>
      </c>
      <c r="J18" s="52">
        <f t="shared" si="0"/>
        <v>6010895</v>
      </c>
      <c r="K18" s="44">
        <f t="shared" si="1"/>
        <v>6689373</v>
      </c>
      <c r="L18" s="44">
        <f t="shared" si="2"/>
        <v>-678478</v>
      </c>
      <c r="M18" s="44">
        <f t="shared" si="3"/>
        <v>77558563.633</v>
      </c>
      <c r="N18" s="52">
        <v>80272000</v>
      </c>
      <c r="O18" s="44">
        <f t="shared" si="7"/>
        <v>-2713436.3669999987</v>
      </c>
      <c r="P18" s="45">
        <f t="shared" si="4"/>
        <v>-0.03380302430486345</v>
      </c>
      <c r="Q18" s="17"/>
      <c r="R18" s="17"/>
      <c r="S18" s="17"/>
      <c r="T18" s="17"/>
    </row>
    <row r="19" spans="1:20" ht="12.75">
      <c r="A19" s="23">
        <v>11</v>
      </c>
      <c r="B19" s="23" t="s">
        <v>228</v>
      </c>
      <c r="C19" s="170">
        <f>'Table 4 Formula'!BA18</f>
        <v>7334161.0455</v>
      </c>
      <c r="D19" s="167">
        <v>0</v>
      </c>
      <c r="E19" s="26">
        <v>-59414</v>
      </c>
      <c r="F19" s="26">
        <v>-32224</v>
      </c>
      <c r="G19" s="50">
        <f t="shared" si="5"/>
        <v>7242523.0455</v>
      </c>
      <c r="H19" s="26">
        <v>5145736</v>
      </c>
      <c r="I19" s="26">
        <f t="shared" si="6"/>
        <v>2096787.0455</v>
      </c>
      <c r="J19" s="50">
        <f t="shared" si="0"/>
        <v>524197</v>
      </c>
      <c r="K19" s="26">
        <f t="shared" si="1"/>
        <v>643217</v>
      </c>
      <c r="L19" s="26">
        <f t="shared" si="2"/>
        <v>-119020</v>
      </c>
      <c r="M19" s="26">
        <f t="shared" si="3"/>
        <v>7242523.0455</v>
      </c>
      <c r="N19" s="50">
        <v>7718038</v>
      </c>
      <c r="O19" s="26">
        <f t="shared" si="7"/>
        <v>-475514.9545</v>
      </c>
      <c r="P19" s="40">
        <f t="shared" si="4"/>
        <v>-0.061610859456768675</v>
      </c>
      <c r="Q19" s="17"/>
      <c r="R19" s="17"/>
      <c r="S19" s="17"/>
      <c r="T19" s="17"/>
    </row>
    <row r="20" spans="1:20" ht="12.75">
      <c r="A20" s="23">
        <v>12</v>
      </c>
      <c r="B20" s="23" t="s">
        <v>229</v>
      </c>
      <c r="C20" s="170">
        <f>'Table 4 Formula'!BA19</f>
        <v>5488473.9506</v>
      </c>
      <c r="D20" s="167">
        <v>0</v>
      </c>
      <c r="E20" s="26">
        <v>0</v>
      </c>
      <c r="F20" s="26">
        <v>-58330</v>
      </c>
      <c r="G20" s="50">
        <f t="shared" si="5"/>
        <v>5430143.9506</v>
      </c>
      <c r="H20" s="26">
        <v>3457307</v>
      </c>
      <c r="I20" s="26">
        <f t="shared" si="6"/>
        <v>1972836.9506</v>
      </c>
      <c r="J20" s="50">
        <f t="shared" si="0"/>
        <v>493209</v>
      </c>
      <c r="K20" s="26">
        <f t="shared" si="1"/>
        <v>432163</v>
      </c>
      <c r="L20" s="26">
        <f t="shared" si="2"/>
        <v>61046</v>
      </c>
      <c r="M20" s="26">
        <f t="shared" si="3"/>
        <v>5430143.9506</v>
      </c>
      <c r="N20" s="50">
        <v>5186296</v>
      </c>
      <c r="O20" s="26">
        <f t="shared" si="7"/>
        <v>243847.9506000001</v>
      </c>
      <c r="P20" s="40">
        <f t="shared" si="4"/>
        <v>0.04701774649962133</v>
      </c>
      <c r="Q20" s="17"/>
      <c r="R20" s="17"/>
      <c r="S20" s="17"/>
      <c r="T20" s="17"/>
    </row>
    <row r="21" spans="1:20" ht="12.75">
      <c r="A21" s="23">
        <v>13</v>
      </c>
      <c r="B21" s="23" t="s">
        <v>230</v>
      </c>
      <c r="C21" s="170">
        <f>'Table 4 Formula'!BA20</f>
        <v>7461559.2461</v>
      </c>
      <c r="D21" s="167">
        <v>0</v>
      </c>
      <c r="E21" s="26">
        <v>-16268</v>
      </c>
      <c r="F21" s="26">
        <v>-47196</v>
      </c>
      <c r="G21" s="50">
        <f t="shared" si="5"/>
        <v>7398095.2461</v>
      </c>
      <c r="H21" s="26">
        <v>5140111</v>
      </c>
      <c r="I21" s="26">
        <f t="shared" si="6"/>
        <v>2257984.2461</v>
      </c>
      <c r="J21" s="50">
        <f t="shared" si="0"/>
        <v>564496</v>
      </c>
      <c r="K21" s="26">
        <f t="shared" si="1"/>
        <v>642514</v>
      </c>
      <c r="L21" s="26">
        <f t="shared" si="2"/>
        <v>-78018</v>
      </c>
      <c r="M21" s="26">
        <f t="shared" si="3"/>
        <v>7398095.2461</v>
      </c>
      <c r="N21" s="50">
        <v>7701791</v>
      </c>
      <c r="O21" s="26">
        <f t="shared" si="7"/>
        <v>-303695.7538999999</v>
      </c>
      <c r="P21" s="40">
        <f t="shared" si="4"/>
        <v>-0.03943183525753943</v>
      </c>
      <c r="Q21" s="17"/>
      <c r="R21" s="17"/>
      <c r="S21" s="17"/>
      <c r="T21" s="17"/>
    </row>
    <row r="22" spans="1:20" ht="12.75">
      <c r="A22" s="23">
        <v>14</v>
      </c>
      <c r="B22" s="23" t="s">
        <v>231</v>
      </c>
      <c r="C22" s="170">
        <f>'Table 4 Formula'!BA21</f>
        <v>10403676.445</v>
      </c>
      <c r="D22" s="167">
        <v>0</v>
      </c>
      <c r="E22" s="26">
        <v>-10646</v>
      </c>
      <c r="F22" s="26">
        <v>-62605</v>
      </c>
      <c r="G22" s="50">
        <f t="shared" si="5"/>
        <v>10330425.445</v>
      </c>
      <c r="H22" s="26">
        <v>6745174</v>
      </c>
      <c r="I22" s="26">
        <f t="shared" si="6"/>
        <v>3585251.4450000003</v>
      </c>
      <c r="J22" s="50">
        <f t="shared" si="0"/>
        <v>896313</v>
      </c>
      <c r="K22" s="26">
        <f t="shared" si="1"/>
        <v>843147</v>
      </c>
      <c r="L22" s="26">
        <f t="shared" si="2"/>
        <v>53166</v>
      </c>
      <c r="M22" s="26">
        <f t="shared" si="3"/>
        <v>10330425.445</v>
      </c>
      <c r="N22" s="50">
        <v>10115890</v>
      </c>
      <c r="O22" s="26">
        <f t="shared" si="7"/>
        <v>214535.4450000003</v>
      </c>
      <c r="P22" s="40">
        <f t="shared" si="4"/>
        <v>0.021207767680352426</v>
      </c>
      <c r="Q22" s="17"/>
      <c r="R22" s="17"/>
      <c r="S22" s="17"/>
      <c r="T22" s="17"/>
    </row>
    <row r="23" spans="1:20" ht="12.75">
      <c r="A23" s="42">
        <v>15</v>
      </c>
      <c r="B23" s="43" t="s">
        <v>232</v>
      </c>
      <c r="C23" s="171">
        <f>'Table 4 Formula'!BA22</f>
        <v>13777081.8916</v>
      </c>
      <c r="D23" s="165">
        <v>0</v>
      </c>
      <c r="E23" s="44">
        <v>-4724</v>
      </c>
      <c r="F23" s="44">
        <v>-99237</v>
      </c>
      <c r="G23" s="52">
        <f t="shared" si="5"/>
        <v>13673120.8916</v>
      </c>
      <c r="H23" s="44">
        <v>9561524</v>
      </c>
      <c r="I23" s="44">
        <f t="shared" si="6"/>
        <v>4111596.8915999997</v>
      </c>
      <c r="J23" s="52">
        <f t="shared" si="0"/>
        <v>1027899</v>
      </c>
      <c r="K23" s="44">
        <f t="shared" si="1"/>
        <v>1195191</v>
      </c>
      <c r="L23" s="44">
        <f t="shared" si="2"/>
        <v>-167292</v>
      </c>
      <c r="M23" s="44">
        <f t="shared" si="3"/>
        <v>13673120.8916</v>
      </c>
      <c r="N23" s="52">
        <v>14335444</v>
      </c>
      <c r="O23" s="44">
        <f t="shared" si="7"/>
        <v>-662323.1084000003</v>
      </c>
      <c r="P23" s="45">
        <f t="shared" si="4"/>
        <v>-0.04620178547661309</v>
      </c>
      <c r="Q23" s="17"/>
      <c r="R23" s="17"/>
      <c r="S23" s="17"/>
      <c r="T23" s="17"/>
    </row>
    <row r="24" spans="1:20" ht="12.75">
      <c r="A24" s="23">
        <v>16</v>
      </c>
      <c r="B24" s="23" t="s">
        <v>233</v>
      </c>
      <c r="C24" s="170">
        <f>'Table 4 Formula'!BA23</f>
        <v>16025903.8948</v>
      </c>
      <c r="D24" s="167">
        <v>0</v>
      </c>
      <c r="E24" s="26">
        <v>-21402</v>
      </c>
      <c r="F24" s="26">
        <v>-158802</v>
      </c>
      <c r="G24" s="50">
        <f t="shared" si="5"/>
        <v>15845699.8948</v>
      </c>
      <c r="H24" s="26">
        <v>10511108</v>
      </c>
      <c r="I24" s="26">
        <f t="shared" si="6"/>
        <v>5334591.8948</v>
      </c>
      <c r="J24" s="50">
        <f t="shared" si="0"/>
        <v>1333648</v>
      </c>
      <c r="K24" s="26">
        <f t="shared" si="1"/>
        <v>1313889</v>
      </c>
      <c r="L24" s="26">
        <f t="shared" si="2"/>
        <v>19759</v>
      </c>
      <c r="M24" s="26">
        <f t="shared" si="3"/>
        <v>15845699.8948</v>
      </c>
      <c r="N24" s="50">
        <v>15922083</v>
      </c>
      <c r="O24" s="26">
        <f t="shared" si="7"/>
        <v>-76383.10520000011</v>
      </c>
      <c r="P24" s="40">
        <f t="shared" si="4"/>
        <v>-0.004797306055997831</v>
      </c>
      <c r="Q24" s="17"/>
      <c r="R24" s="17"/>
      <c r="S24" s="17"/>
      <c r="T24" s="17"/>
    </row>
    <row r="25" spans="1:20" ht="12.75">
      <c r="A25" s="23">
        <v>17</v>
      </c>
      <c r="B25" s="23" t="s">
        <v>234</v>
      </c>
      <c r="C25" s="170">
        <f>'Table 4 Formula'!BA24</f>
        <v>140410370.1</v>
      </c>
      <c r="D25" s="167">
        <v>0</v>
      </c>
      <c r="E25" s="26">
        <v>-439173</v>
      </c>
      <c r="F25" s="26">
        <v>-1561705</v>
      </c>
      <c r="G25" s="50">
        <f t="shared" si="5"/>
        <v>138409492.1</v>
      </c>
      <c r="H25" s="26">
        <v>93598387</v>
      </c>
      <c r="I25" s="26">
        <f t="shared" si="6"/>
        <v>44811105.099999994</v>
      </c>
      <c r="J25" s="50">
        <f t="shared" si="0"/>
        <v>11202776</v>
      </c>
      <c r="K25" s="26">
        <f t="shared" si="1"/>
        <v>11699798</v>
      </c>
      <c r="L25" s="26">
        <f t="shared" si="2"/>
        <v>-497022</v>
      </c>
      <c r="M25" s="26">
        <f t="shared" si="3"/>
        <v>138409492.1</v>
      </c>
      <c r="N25" s="50">
        <v>140360224</v>
      </c>
      <c r="O25" s="26">
        <f t="shared" si="7"/>
        <v>-1950731.900000006</v>
      </c>
      <c r="P25" s="40">
        <f t="shared" si="4"/>
        <v>-0.013898039233679237</v>
      </c>
      <c r="Q25" s="17"/>
      <c r="R25" s="17"/>
      <c r="S25" s="17"/>
      <c r="T25" s="17"/>
    </row>
    <row r="26" spans="1:20" ht="12.75">
      <c r="A26" s="23">
        <v>18</v>
      </c>
      <c r="B26" s="23" t="s">
        <v>235</v>
      </c>
      <c r="C26" s="170">
        <f>'Table 4 Formula'!BA25</f>
        <v>7156713.3074</v>
      </c>
      <c r="D26" s="167">
        <v>0</v>
      </c>
      <c r="E26" s="26">
        <v>-5556</v>
      </c>
      <c r="F26" s="26">
        <v>-38000</v>
      </c>
      <c r="G26" s="50">
        <f t="shared" si="5"/>
        <v>7113157.3074</v>
      </c>
      <c r="H26" s="26">
        <v>4729787</v>
      </c>
      <c r="I26" s="26">
        <f t="shared" si="6"/>
        <v>2383370.3074000003</v>
      </c>
      <c r="J26" s="50">
        <f t="shared" si="0"/>
        <v>595843</v>
      </c>
      <c r="K26" s="26">
        <f t="shared" si="1"/>
        <v>591223</v>
      </c>
      <c r="L26" s="26">
        <f t="shared" si="2"/>
        <v>4620</v>
      </c>
      <c r="M26" s="26">
        <f t="shared" si="3"/>
        <v>7113157.3074</v>
      </c>
      <c r="N26" s="50">
        <v>7096358</v>
      </c>
      <c r="O26" s="26">
        <f t="shared" si="7"/>
        <v>16799.30740000028</v>
      </c>
      <c r="P26" s="40">
        <f t="shared" si="4"/>
        <v>0.002367313965839982</v>
      </c>
      <c r="Q26" s="17"/>
      <c r="R26" s="17"/>
      <c r="S26" s="17"/>
      <c r="T26" s="17"/>
    </row>
    <row r="27" spans="1:20" ht="12.75">
      <c r="A27" s="23">
        <v>19</v>
      </c>
      <c r="B27" s="23" t="s">
        <v>236</v>
      </c>
      <c r="C27" s="170">
        <f>'Table 4 Formula'!BA26</f>
        <v>10249996.652</v>
      </c>
      <c r="D27" s="167">
        <v>0</v>
      </c>
      <c r="E27" s="26">
        <v>-7624</v>
      </c>
      <c r="F27" s="26">
        <v>-63688</v>
      </c>
      <c r="G27" s="50">
        <f t="shared" si="5"/>
        <v>10178684.652</v>
      </c>
      <c r="H27" s="26">
        <v>7105396</v>
      </c>
      <c r="I27" s="26">
        <f t="shared" si="6"/>
        <v>3073288.6520000007</v>
      </c>
      <c r="J27" s="50">
        <f t="shared" si="0"/>
        <v>768322</v>
      </c>
      <c r="K27" s="26">
        <f t="shared" si="1"/>
        <v>888175</v>
      </c>
      <c r="L27" s="26">
        <f t="shared" si="2"/>
        <v>-119853</v>
      </c>
      <c r="M27" s="26">
        <f t="shared" si="3"/>
        <v>10178684.652</v>
      </c>
      <c r="N27" s="50">
        <v>10650934</v>
      </c>
      <c r="O27" s="26">
        <f t="shared" si="7"/>
        <v>-472249.3479999993</v>
      </c>
      <c r="P27" s="40">
        <f t="shared" si="4"/>
        <v>-0.0443387732944359</v>
      </c>
      <c r="Q27" s="17"/>
      <c r="R27" s="17"/>
      <c r="S27" s="17"/>
      <c r="T27" s="17"/>
    </row>
    <row r="28" spans="1:20" ht="12.75">
      <c r="A28" s="42">
        <v>20</v>
      </c>
      <c r="B28" s="43" t="s">
        <v>237</v>
      </c>
      <c r="C28" s="171">
        <f>'Table 4 Formula'!BA27</f>
        <v>21625395.6112</v>
      </c>
      <c r="D28" s="165">
        <v>0</v>
      </c>
      <c r="E28" s="44">
        <v>-30310</v>
      </c>
      <c r="F28" s="44">
        <v>-160645</v>
      </c>
      <c r="G28" s="52">
        <f t="shared" si="5"/>
        <v>21434440.6112</v>
      </c>
      <c r="H28" s="44">
        <v>14966033</v>
      </c>
      <c r="I28" s="44">
        <f t="shared" si="6"/>
        <v>6468407.611200001</v>
      </c>
      <c r="J28" s="52">
        <f t="shared" si="0"/>
        <v>1617102</v>
      </c>
      <c r="K28" s="44">
        <f t="shared" si="1"/>
        <v>1870754</v>
      </c>
      <c r="L28" s="44">
        <f t="shared" si="2"/>
        <v>-253652</v>
      </c>
      <c r="M28" s="44">
        <f t="shared" si="3"/>
        <v>21434440.6112</v>
      </c>
      <c r="N28" s="52">
        <v>22445760</v>
      </c>
      <c r="O28" s="44">
        <f t="shared" si="7"/>
        <v>-1011319.3887999989</v>
      </c>
      <c r="P28" s="45">
        <f t="shared" si="4"/>
        <v>-0.04505614373494143</v>
      </c>
      <c r="Q28" s="17"/>
      <c r="R28" s="17"/>
      <c r="S28" s="17"/>
      <c r="T28" s="17"/>
    </row>
    <row r="29" spans="1:20" ht="12.75">
      <c r="A29" s="23">
        <v>21</v>
      </c>
      <c r="B29" s="23" t="s">
        <v>238</v>
      </c>
      <c r="C29" s="170">
        <f>'Table 4 Formula'!BA28</f>
        <v>14031840.3854</v>
      </c>
      <c r="D29" s="167">
        <v>123</v>
      </c>
      <c r="E29" s="26">
        <v>0</v>
      </c>
      <c r="F29" s="26">
        <v>-94525</v>
      </c>
      <c r="G29" s="50">
        <f t="shared" si="5"/>
        <v>13937438.3854</v>
      </c>
      <c r="H29" s="26">
        <v>9316855</v>
      </c>
      <c r="I29" s="26">
        <f t="shared" si="6"/>
        <v>4620583.385399999</v>
      </c>
      <c r="J29" s="50">
        <f t="shared" si="0"/>
        <v>1155146</v>
      </c>
      <c r="K29" s="26">
        <f t="shared" si="1"/>
        <v>1164607</v>
      </c>
      <c r="L29" s="26">
        <f t="shared" si="2"/>
        <v>-9461</v>
      </c>
      <c r="M29" s="26">
        <f t="shared" si="3"/>
        <v>13937438.3854</v>
      </c>
      <c r="N29" s="50">
        <v>13963063</v>
      </c>
      <c r="O29" s="26">
        <f t="shared" si="7"/>
        <v>-25624.614600000903</v>
      </c>
      <c r="P29" s="40">
        <f t="shared" si="4"/>
        <v>-0.001835171451994516</v>
      </c>
      <c r="Q29" s="17"/>
      <c r="R29" s="17"/>
      <c r="S29" s="17"/>
      <c r="T29" s="17"/>
    </row>
    <row r="30" spans="1:20" ht="12.75">
      <c r="A30" s="23">
        <v>22</v>
      </c>
      <c r="B30" s="23" t="s">
        <v>239</v>
      </c>
      <c r="C30" s="170">
        <f>'Table 4 Formula'!BA29</f>
        <v>14210328.971</v>
      </c>
      <c r="D30" s="166">
        <v>1512</v>
      </c>
      <c r="E30" s="26">
        <v>0</v>
      </c>
      <c r="F30" s="26">
        <v>-95114</v>
      </c>
      <c r="G30" s="50">
        <f t="shared" si="5"/>
        <v>14116726.971</v>
      </c>
      <c r="H30" s="26">
        <v>9563236</v>
      </c>
      <c r="I30" s="26">
        <f t="shared" si="6"/>
        <v>4553490.971000001</v>
      </c>
      <c r="J30" s="50">
        <f t="shared" si="0"/>
        <v>1138373</v>
      </c>
      <c r="K30" s="26">
        <f t="shared" si="1"/>
        <v>1195405</v>
      </c>
      <c r="L30" s="26">
        <f t="shared" si="2"/>
        <v>-57032</v>
      </c>
      <c r="M30" s="26">
        <f t="shared" si="3"/>
        <v>14116726.971</v>
      </c>
      <c r="N30" s="50">
        <v>14349683</v>
      </c>
      <c r="O30" s="26">
        <f t="shared" si="7"/>
        <v>-232956.02899999917</v>
      </c>
      <c r="P30" s="40">
        <f t="shared" si="4"/>
        <v>-0.016234228240442607</v>
      </c>
      <c r="Q30" s="17"/>
      <c r="R30" s="17"/>
      <c r="S30" s="17"/>
      <c r="T30" s="17"/>
    </row>
    <row r="31" spans="1:20" ht="12.75">
      <c r="A31" s="23">
        <v>23</v>
      </c>
      <c r="B31" s="23" t="s">
        <v>240</v>
      </c>
      <c r="C31" s="170">
        <f>'Table 4 Formula'!BA30</f>
        <v>50427300.1291</v>
      </c>
      <c r="D31" s="167">
        <v>12723</v>
      </c>
      <c r="E31" s="26">
        <v>0</v>
      </c>
      <c r="F31" s="26">
        <v>-383990</v>
      </c>
      <c r="G31" s="50">
        <f t="shared" si="5"/>
        <v>50056033.1291</v>
      </c>
      <c r="H31" s="26">
        <v>33813922</v>
      </c>
      <c r="I31" s="26">
        <f t="shared" si="6"/>
        <v>16242111.129100002</v>
      </c>
      <c r="J31" s="50">
        <f t="shared" si="0"/>
        <v>4060528</v>
      </c>
      <c r="K31" s="26">
        <f t="shared" si="1"/>
        <v>4226740</v>
      </c>
      <c r="L31" s="26">
        <f t="shared" si="2"/>
        <v>-166212</v>
      </c>
      <c r="M31" s="26">
        <f t="shared" si="3"/>
        <v>50056033.1291</v>
      </c>
      <c r="N31" s="50">
        <v>50716389</v>
      </c>
      <c r="O31" s="26">
        <f t="shared" si="7"/>
        <v>-660355.8708999977</v>
      </c>
      <c r="P31" s="40">
        <f t="shared" si="4"/>
        <v>-0.013020561674846323</v>
      </c>
      <c r="Q31" s="17"/>
      <c r="R31" s="17"/>
      <c r="S31" s="17"/>
      <c r="T31" s="17"/>
    </row>
    <row r="32" spans="1:20" ht="12.75">
      <c r="A32" s="23">
        <v>24</v>
      </c>
      <c r="B32" s="23" t="s">
        <v>241</v>
      </c>
      <c r="C32" s="170">
        <f>'Table 4 Formula'!BA31</f>
        <v>12960715.35</v>
      </c>
      <c r="D32" s="167">
        <v>0</v>
      </c>
      <c r="E32" s="26">
        <v>-9934</v>
      </c>
      <c r="F32" s="26">
        <v>-152000</v>
      </c>
      <c r="G32" s="50">
        <f t="shared" si="5"/>
        <v>12798781.35</v>
      </c>
      <c r="H32" s="26">
        <v>8838365</v>
      </c>
      <c r="I32" s="26">
        <f t="shared" si="6"/>
        <v>3960416.3499999996</v>
      </c>
      <c r="J32" s="50">
        <f t="shared" si="0"/>
        <v>990104</v>
      </c>
      <c r="K32" s="26">
        <f t="shared" si="1"/>
        <v>1104796</v>
      </c>
      <c r="L32" s="26">
        <f t="shared" si="2"/>
        <v>-114692</v>
      </c>
      <c r="M32" s="26">
        <f t="shared" si="3"/>
        <v>12798781.35</v>
      </c>
      <c r="N32" s="50">
        <v>13257777</v>
      </c>
      <c r="O32" s="26">
        <f t="shared" si="7"/>
        <v>-458995.6500000004</v>
      </c>
      <c r="P32" s="40">
        <f t="shared" si="4"/>
        <v>-0.03462086064654733</v>
      </c>
      <c r="Q32" s="17"/>
      <c r="R32" s="17"/>
      <c r="S32" s="17"/>
      <c r="T32" s="17"/>
    </row>
    <row r="33" spans="1:20" ht="12.75">
      <c r="A33" s="42">
        <v>25</v>
      </c>
      <c r="B33" s="43" t="s">
        <v>242</v>
      </c>
      <c r="C33" s="171">
        <f>'Table 4 Formula'!BA32</f>
        <v>10026945.5564</v>
      </c>
      <c r="D33" s="165">
        <v>9041</v>
      </c>
      <c r="E33" s="44">
        <v>0</v>
      </c>
      <c r="F33" s="44">
        <v>-58995</v>
      </c>
      <c r="G33" s="52">
        <f t="shared" si="5"/>
        <v>9976991.5564</v>
      </c>
      <c r="H33" s="44">
        <v>6767815</v>
      </c>
      <c r="I33" s="44">
        <f t="shared" si="6"/>
        <v>3209176.556399999</v>
      </c>
      <c r="J33" s="52">
        <f t="shared" si="0"/>
        <v>802294</v>
      </c>
      <c r="K33" s="44">
        <f t="shared" si="1"/>
        <v>845977</v>
      </c>
      <c r="L33" s="44">
        <f t="shared" si="2"/>
        <v>-43683</v>
      </c>
      <c r="M33" s="44">
        <f t="shared" si="3"/>
        <v>9976991.5564</v>
      </c>
      <c r="N33" s="52">
        <v>10146450</v>
      </c>
      <c r="O33" s="44">
        <f t="shared" si="7"/>
        <v>-169458.4436000008</v>
      </c>
      <c r="P33" s="45">
        <f t="shared" si="4"/>
        <v>-0.016701254488022985</v>
      </c>
      <c r="Q33" s="17"/>
      <c r="R33" s="17"/>
      <c r="S33" s="17"/>
      <c r="T33" s="17"/>
    </row>
    <row r="34" spans="1:20" ht="12.75">
      <c r="A34" s="23">
        <v>26</v>
      </c>
      <c r="B34" s="23" t="s">
        <v>243</v>
      </c>
      <c r="C34" s="170">
        <f>'Table 4 Formula'!BA33</f>
        <v>123286804.02999999</v>
      </c>
      <c r="D34" s="167">
        <v>0</v>
      </c>
      <c r="E34" s="26">
        <v>-167655</v>
      </c>
      <c r="F34" s="26">
        <v>-1245298</v>
      </c>
      <c r="G34" s="50">
        <f t="shared" si="5"/>
        <v>121873851.02999999</v>
      </c>
      <c r="H34" s="26">
        <v>83782477</v>
      </c>
      <c r="I34" s="26">
        <f t="shared" si="6"/>
        <v>38091374.02999999</v>
      </c>
      <c r="J34" s="50">
        <f t="shared" si="0"/>
        <v>9522844</v>
      </c>
      <c r="K34" s="26">
        <f t="shared" si="1"/>
        <v>10472810</v>
      </c>
      <c r="L34" s="26">
        <f t="shared" si="2"/>
        <v>-949966</v>
      </c>
      <c r="M34" s="26">
        <f t="shared" si="3"/>
        <v>121873851.02999999</v>
      </c>
      <c r="N34" s="50">
        <v>125656601</v>
      </c>
      <c r="O34" s="26">
        <f t="shared" si="7"/>
        <v>-3782749.9700000137</v>
      </c>
      <c r="P34" s="40">
        <f t="shared" si="4"/>
        <v>-0.03010386991129908</v>
      </c>
      <c r="Q34" s="17"/>
      <c r="R34" s="17"/>
      <c r="S34" s="17"/>
      <c r="T34" s="17"/>
    </row>
    <row r="35" spans="1:20" ht="12.75">
      <c r="A35" s="23">
        <v>27</v>
      </c>
      <c r="B35" s="23" t="s">
        <v>244</v>
      </c>
      <c r="C35" s="170">
        <f>'Table 4 Formula'!BA34</f>
        <v>21455033.5505</v>
      </c>
      <c r="D35" s="166">
        <v>0</v>
      </c>
      <c r="E35" s="26">
        <v>-10681</v>
      </c>
      <c r="F35" s="26">
        <v>-145027</v>
      </c>
      <c r="G35" s="50">
        <f t="shared" si="5"/>
        <v>21299325.5505</v>
      </c>
      <c r="H35" s="26">
        <v>14255661</v>
      </c>
      <c r="I35" s="26">
        <f t="shared" si="6"/>
        <v>7043664.550500002</v>
      </c>
      <c r="J35" s="50">
        <f t="shared" si="0"/>
        <v>1760916</v>
      </c>
      <c r="K35" s="26">
        <f t="shared" si="1"/>
        <v>1781958</v>
      </c>
      <c r="L35" s="26">
        <f t="shared" si="2"/>
        <v>-21042</v>
      </c>
      <c r="M35" s="26">
        <f t="shared" si="3"/>
        <v>21299325.5505</v>
      </c>
      <c r="N35" s="50">
        <v>21369393</v>
      </c>
      <c r="O35" s="26">
        <f t="shared" si="7"/>
        <v>-70067.44949999824</v>
      </c>
      <c r="P35" s="40">
        <f t="shared" si="4"/>
        <v>-0.0032788694325570334</v>
      </c>
      <c r="Q35" s="17"/>
      <c r="R35" s="17"/>
      <c r="S35" s="17"/>
      <c r="T35" s="17"/>
    </row>
    <row r="36" spans="1:20" ht="12.75">
      <c r="A36" s="23">
        <v>28</v>
      </c>
      <c r="B36" s="23" t="s">
        <v>245</v>
      </c>
      <c r="C36" s="170">
        <f>'Table 4 Formula'!BA35</f>
        <v>70146530.84</v>
      </c>
      <c r="D36" s="167">
        <v>0</v>
      </c>
      <c r="E36" s="26">
        <v>0</v>
      </c>
      <c r="F36" s="26">
        <v>-780235</v>
      </c>
      <c r="G36" s="50">
        <f t="shared" si="5"/>
        <v>69366295.84</v>
      </c>
      <c r="H36" s="26">
        <v>47338663</v>
      </c>
      <c r="I36" s="26">
        <f t="shared" si="6"/>
        <v>22027632.840000004</v>
      </c>
      <c r="J36" s="50">
        <f t="shared" si="0"/>
        <v>5506908</v>
      </c>
      <c r="K36" s="26">
        <f t="shared" si="1"/>
        <v>5917333</v>
      </c>
      <c r="L36" s="26">
        <f t="shared" si="2"/>
        <v>-410425</v>
      </c>
      <c r="M36" s="26">
        <f t="shared" si="3"/>
        <v>69366295.84</v>
      </c>
      <c r="N36" s="50">
        <v>71023879</v>
      </c>
      <c r="O36" s="26">
        <f t="shared" si="7"/>
        <v>-1657583.1599999964</v>
      </c>
      <c r="P36" s="40">
        <f t="shared" si="4"/>
        <v>-0.02333839242996002</v>
      </c>
      <c r="Q36" s="17"/>
      <c r="R36" s="17"/>
      <c r="S36" s="17"/>
      <c r="T36" s="17"/>
    </row>
    <row r="37" spans="1:20" ht="12.75">
      <c r="A37" s="23">
        <v>29</v>
      </c>
      <c r="B37" s="23" t="s">
        <v>246</v>
      </c>
      <c r="C37" s="170">
        <f>'Table 4 Formula'!BA36</f>
        <v>50241932.3708</v>
      </c>
      <c r="D37" s="167">
        <v>7406</v>
      </c>
      <c r="E37" s="26">
        <v>0</v>
      </c>
      <c r="F37" s="26">
        <v>-378727</v>
      </c>
      <c r="G37" s="50">
        <f t="shared" si="5"/>
        <v>49870611.3708</v>
      </c>
      <c r="H37" s="26">
        <v>34319559</v>
      </c>
      <c r="I37" s="26">
        <f t="shared" si="6"/>
        <v>15551052.370800003</v>
      </c>
      <c r="J37" s="50">
        <f t="shared" si="0"/>
        <v>3887763</v>
      </c>
      <c r="K37" s="26">
        <f t="shared" si="1"/>
        <v>4289945</v>
      </c>
      <c r="L37" s="26">
        <f t="shared" si="2"/>
        <v>-402182</v>
      </c>
      <c r="M37" s="26">
        <f t="shared" si="3"/>
        <v>49870611.3708</v>
      </c>
      <c r="N37" s="50">
        <v>51477139</v>
      </c>
      <c r="O37" s="26">
        <f t="shared" si="7"/>
        <v>-1606527.6291999966</v>
      </c>
      <c r="P37" s="40">
        <f t="shared" si="4"/>
        <v>-0.03120856481942395</v>
      </c>
      <c r="Q37" s="17"/>
      <c r="R37" s="17"/>
      <c r="S37" s="17"/>
      <c r="T37" s="17"/>
    </row>
    <row r="38" spans="1:20" ht="12.75">
      <c r="A38" s="42">
        <v>30</v>
      </c>
      <c r="B38" s="43" t="s">
        <v>247</v>
      </c>
      <c r="C38" s="171">
        <f>'Table 4 Formula'!BA37</f>
        <v>9217131.2679</v>
      </c>
      <c r="D38" s="165">
        <v>0</v>
      </c>
      <c r="E38" s="44">
        <v>-212178</v>
      </c>
      <c r="F38" s="44">
        <v>-62681</v>
      </c>
      <c r="G38" s="52">
        <f t="shared" si="5"/>
        <v>8942272.2679</v>
      </c>
      <c r="H38" s="44">
        <v>6025686</v>
      </c>
      <c r="I38" s="44">
        <f t="shared" si="6"/>
        <v>2916586.2678999994</v>
      </c>
      <c r="J38" s="52">
        <f t="shared" si="0"/>
        <v>729147</v>
      </c>
      <c r="K38" s="44">
        <f t="shared" si="1"/>
        <v>753211</v>
      </c>
      <c r="L38" s="44">
        <f t="shared" si="2"/>
        <v>-24064</v>
      </c>
      <c r="M38" s="44">
        <f t="shared" si="3"/>
        <v>8942272.2679</v>
      </c>
      <c r="N38" s="52">
        <v>9046407</v>
      </c>
      <c r="O38" s="44">
        <f t="shared" si="7"/>
        <v>-104134.7321000006</v>
      </c>
      <c r="P38" s="45">
        <f t="shared" si="4"/>
        <v>-0.011511170357469059</v>
      </c>
      <c r="Q38" s="17"/>
      <c r="R38" s="17"/>
      <c r="S38" s="17"/>
      <c r="T38" s="17"/>
    </row>
    <row r="39" spans="1:20" ht="12.75">
      <c r="A39" s="23">
        <v>31</v>
      </c>
      <c r="B39" s="23" t="s">
        <v>248</v>
      </c>
      <c r="C39" s="170">
        <f>'Table 4 Formula'!BA38</f>
        <v>19143378.5893</v>
      </c>
      <c r="D39" s="167">
        <v>72871</v>
      </c>
      <c r="E39" s="26">
        <v>0</v>
      </c>
      <c r="F39" s="26">
        <v>-158783</v>
      </c>
      <c r="G39" s="50">
        <f t="shared" si="5"/>
        <v>19057466.5893</v>
      </c>
      <c r="H39" s="26">
        <v>12452312</v>
      </c>
      <c r="I39" s="26">
        <f t="shared" si="6"/>
        <v>6605154.589299999</v>
      </c>
      <c r="J39" s="50">
        <f t="shared" si="0"/>
        <v>1651289</v>
      </c>
      <c r="K39" s="26">
        <f t="shared" si="1"/>
        <v>1556539</v>
      </c>
      <c r="L39" s="26">
        <f t="shared" si="2"/>
        <v>94750</v>
      </c>
      <c r="M39" s="26">
        <f t="shared" si="3"/>
        <v>19057466.5893</v>
      </c>
      <c r="N39" s="50">
        <v>18672898</v>
      </c>
      <c r="O39" s="26">
        <f t="shared" si="7"/>
        <v>384568.5892999992</v>
      </c>
      <c r="P39" s="40">
        <f t="shared" si="4"/>
        <v>0.020595013655619988</v>
      </c>
      <c r="Q39" s="17"/>
      <c r="R39" s="17"/>
      <c r="S39" s="17"/>
      <c r="T39" s="17"/>
    </row>
    <row r="40" spans="1:20" ht="12.75">
      <c r="A40" s="23">
        <v>32</v>
      </c>
      <c r="B40" s="23" t="s">
        <v>249</v>
      </c>
      <c r="C40" s="170">
        <f>'Table 4 Formula'!BA39</f>
        <v>70123180.9328</v>
      </c>
      <c r="D40" s="167">
        <v>0</v>
      </c>
      <c r="E40" s="26">
        <f>-14846-2913</f>
        <v>-17759</v>
      </c>
      <c r="F40" s="26">
        <v>-443745</v>
      </c>
      <c r="G40" s="50">
        <f t="shared" si="5"/>
        <v>69661676.9328</v>
      </c>
      <c r="H40" s="26">
        <v>46604475</v>
      </c>
      <c r="I40" s="26">
        <f t="shared" si="6"/>
        <v>23057201.932799995</v>
      </c>
      <c r="J40" s="50">
        <f t="shared" si="0"/>
        <v>5764300</v>
      </c>
      <c r="K40" s="26">
        <f t="shared" si="1"/>
        <v>5825559</v>
      </c>
      <c r="L40" s="26">
        <f t="shared" si="2"/>
        <v>-61259</v>
      </c>
      <c r="M40" s="26">
        <f t="shared" si="3"/>
        <v>69661676.9328</v>
      </c>
      <c r="N40" s="50">
        <v>69971512</v>
      </c>
      <c r="O40" s="26">
        <f t="shared" si="7"/>
        <v>-309835.06720000505</v>
      </c>
      <c r="P40" s="40">
        <f t="shared" si="4"/>
        <v>-0.004428017322249733</v>
      </c>
      <c r="Q40" s="17"/>
      <c r="R40" s="17"/>
      <c r="S40" s="17"/>
      <c r="T40" s="17"/>
    </row>
    <row r="41" spans="1:20" ht="12.75">
      <c r="A41" s="23">
        <v>33</v>
      </c>
      <c r="B41" s="23" t="s">
        <v>250</v>
      </c>
      <c r="C41" s="170">
        <f>'Table 4 Formula'!BA40</f>
        <v>9150616.814</v>
      </c>
      <c r="D41" s="167">
        <v>0</v>
      </c>
      <c r="E41" s="26">
        <v>-25619</v>
      </c>
      <c r="F41" s="26">
        <v>-63365</v>
      </c>
      <c r="G41" s="50">
        <f t="shared" si="5"/>
        <v>9061632.814</v>
      </c>
      <c r="H41" s="26">
        <v>6033288</v>
      </c>
      <c r="I41" s="26">
        <f t="shared" si="6"/>
        <v>3028344.8139999993</v>
      </c>
      <c r="J41" s="50">
        <f t="shared" si="0"/>
        <v>757086</v>
      </c>
      <c r="K41" s="26">
        <f t="shared" si="1"/>
        <v>754161</v>
      </c>
      <c r="L41" s="26">
        <f aca="true" t="shared" si="8" ref="L41:L72">J41-K41</f>
        <v>2925</v>
      </c>
      <c r="M41" s="26">
        <f t="shared" si="3"/>
        <v>9061632.814</v>
      </c>
      <c r="N41" s="50">
        <v>9026689</v>
      </c>
      <c r="O41" s="26">
        <f t="shared" si="7"/>
        <v>34943.813999999315</v>
      </c>
      <c r="P41" s="40">
        <f t="shared" si="4"/>
        <v>0.003871166271486623</v>
      </c>
      <c r="Q41" s="17"/>
      <c r="R41" s="17"/>
      <c r="S41" s="17"/>
      <c r="T41" s="17"/>
    </row>
    <row r="42" spans="1:20" ht="12.75">
      <c r="A42" s="23">
        <v>34</v>
      </c>
      <c r="B42" s="23" t="s">
        <v>251</v>
      </c>
      <c r="C42" s="170">
        <f>'Table 4 Formula'!BA41</f>
        <v>17756530.5182</v>
      </c>
      <c r="D42" s="167">
        <v>26966</v>
      </c>
      <c r="E42" s="26">
        <v>0</v>
      </c>
      <c r="F42" s="26">
        <v>-120593</v>
      </c>
      <c r="G42" s="50">
        <f t="shared" si="5"/>
        <v>17662903.5182</v>
      </c>
      <c r="H42" s="26">
        <v>12295095</v>
      </c>
      <c r="I42" s="26">
        <f t="shared" si="6"/>
        <v>5367808.518199999</v>
      </c>
      <c r="J42" s="50">
        <f t="shared" si="0"/>
        <v>1341952</v>
      </c>
      <c r="K42" s="26">
        <f t="shared" si="1"/>
        <v>1536887</v>
      </c>
      <c r="L42" s="26">
        <f t="shared" si="8"/>
        <v>-194935</v>
      </c>
      <c r="M42" s="26">
        <f t="shared" si="3"/>
        <v>17662903.5182</v>
      </c>
      <c r="N42" s="50">
        <v>18434881</v>
      </c>
      <c r="O42" s="26">
        <f t="shared" si="7"/>
        <v>-771977.4818000011</v>
      </c>
      <c r="P42" s="40">
        <f t="shared" si="4"/>
        <v>-0.04187591348162221</v>
      </c>
      <c r="Q42" s="17"/>
      <c r="R42" s="17"/>
      <c r="S42" s="17"/>
      <c r="T42" s="17"/>
    </row>
    <row r="43" spans="1:20" ht="12.75">
      <c r="A43" s="42">
        <v>35</v>
      </c>
      <c r="B43" s="43" t="s">
        <v>252</v>
      </c>
      <c r="C43" s="171">
        <f>'Table 4 Formula'!BA42</f>
        <v>22396825.542</v>
      </c>
      <c r="D43" s="165">
        <v>0</v>
      </c>
      <c r="E43" s="44">
        <v>-7895</v>
      </c>
      <c r="F43" s="44">
        <v>-172805</v>
      </c>
      <c r="G43" s="52">
        <f t="shared" si="5"/>
        <v>22216125.542</v>
      </c>
      <c r="H43" s="44">
        <v>15455361</v>
      </c>
      <c r="I43" s="44">
        <f t="shared" si="6"/>
        <v>6760764.541999999</v>
      </c>
      <c r="J43" s="52">
        <f t="shared" si="0"/>
        <v>1690191</v>
      </c>
      <c r="K43" s="44">
        <f t="shared" si="1"/>
        <v>1931920</v>
      </c>
      <c r="L43" s="44">
        <f t="shared" si="8"/>
        <v>-241729</v>
      </c>
      <c r="M43" s="44">
        <f t="shared" si="3"/>
        <v>22216125.542</v>
      </c>
      <c r="N43" s="52">
        <v>23178990</v>
      </c>
      <c r="O43" s="44">
        <f t="shared" si="7"/>
        <v>-962864.4580000006</v>
      </c>
      <c r="P43" s="45">
        <f t="shared" si="4"/>
        <v>-0.04154039748927803</v>
      </c>
      <c r="Q43" s="17"/>
      <c r="R43" s="17"/>
      <c r="S43" s="17"/>
      <c r="T43" s="17"/>
    </row>
    <row r="44" spans="1:20" ht="12.75">
      <c r="A44" s="23">
        <v>36</v>
      </c>
      <c r="B44" s="23" t="s">
        <v>253</v>
      </c>
      <c r="C44" s="170">
        <f>'Table 4 Formula'!BA43</f>
        <v>225519339.4037</v>
      </c>
      <c r="D44" s="167">
        <v>0</v>
      </c>
      <c r="E44" s="26">
        <v>-649828</v>
      </c>
      <c r="F44" s="26">
        <v>-1879404</v>
      </c>
      <c r="G44" s="50">
        <f t="shared" si="5"/>
        <v>222990107.4037</v>
      </c>
      <c r="H44" s="26">
        <v>149596358</v>
      </c>
      <c r="I44" s="26">
        <f t="shared" si="6"/>
        <v>73393749.4037</v>
      </c>
      <c r="J44" s="50">
        <f t="shared" si="0"/>
        <v>18348437</v>
      </c>
      <c r="K44" s="26">
        <f t="shared" si="1"/>
        <v>18699545</v>
      </c>
      <c r="L44" s="26">
        <f t="shared" si="8"/>
        <v>-351108</v>
      </c>
      <c r="M44" s="26">
        <f t="shared" si="3"/>
        <v>222990107.4037</v>
      </c>
      <c r="N44" s="50">
        <v>224388485</v>
      </c>
      <c r="O44" s="26">
        <f t="shared" si="7"/>
        <v>-1398377.596300006</v>
      </c>
      <c r="P44" s="40">
        <f t="shared" si="4"/>
        <v>-0.00623194900709814</v>
      </c>
      <c r="Q44" s="17"/>
      <c r="R44" s="17"/>
      <c r="S44" s="17"/>
      <c r="T44" s="17"/>
    </row>
    <row r="45" spans="1:20" ht="12.75">
      <c r="A45" s="23">
        <v>37</v>
      </c>
      <c r="B45" s="23" t="s">
        <v>254</v>
      </c>
      <c r="C45" s="170">
        <f>'Table 4 Formula'!BA44</f>
        <v>59459388.6612</v>
      </c>
      <c r="D45" s="167">
        <v>0</v>
      </c>
      <c r="E45" s="26">
        <v>-19519</v>
      </c>
      <c r="F45" s="26">
        <v>-439717</v>
      </c>
      <c r="G45" s="50">
        <f t="shared" si="5"/>
        <v>59000152.6612</v>
      </c>
      <c r="H45" s="26">
        <v>38932472</v>
      </c>
      <c r="I45" s="26">
        <f t="shared" si="6"/>
        <v>20067680.6612</v>
      </c>
      <c r="J45" s="50">
        <f t="shared" si="0"/>
        <v>5016920</v>
      </c>
      <c r="K45" s="26">
        <f t="shared" si="1"/>
        <v>4866559</v>
      </c>
      <c r="L45" s="26">
        <f t="shared" si="8"/>
        <v>150361</v>
      </c>
      <c r="M45" s="26">
        <f t="shared" si="3"/>
        <v>59000152.6612</v>
      </c>
      <c r="N45" s="50">
        <v>58405226</v>
      </c>
      <c r="O45" s="26">
        <f t="shared" si="7"/>
        <v>594926.6612000018</v>
      </c>
      <c r="P45" s="40">
        <f t="shared" si="4"/>
        <v>0.010186188838649505</v>
      </c>
      <c r="Q45" s="17"/>
      <c r="R45" s="17"/>
      <c r="S45" s="17"/>
      <c r="T45" s="17"/>
    </row>
    <row r="46" spans="1:20" ht="12.75">
      <c r="A46" s="23">
        <v>38</v>
      </c>
      <c r="B46" s="23" t="s">
        <v>255</v>
      </c>
      <c r="C46" s="170">
        <f>'Table 4 Formula'!BA45</f>
        <v>10022289.31</v>
      </c>
      <c r="D46" s="167">
        <v>0</v>
      </c>
      <c r="E46" s="26">
        <v>-2023</v>
      </c>
      <c r="F46" s="26">
        <v>-159790</v>
      </c>
      <c r="G46" s="50">
        <f t="shared" si="5"/>
        <v>9860476.31</v>
      </c>
      <c r="H46" s="26">
        <v>6805792</v>
      </c>
      <c r="I46" s="26">
        <f t="shared" si="6"/>
        <v>3054684.3100000005</v>
      </c>
      <c r="J46" s="50">
        <f t="shared" si="0"/>
        <v>763671</v>
      </c>
      <c r="K46" s="26">
        <f t="shared" si="1"/>
        <v>850724</v>
      </c>
      <c r="L46" s="26">
        <f t="shared" si="8"/>
        <v>-87053</v>
      </c>
      <c r="M46" s="26">
        <f t="shared" si="3"/>
        <v>9860476.31</v>
      </c>
      <c r="N46" s="50">
        <v>10208618</v>
      </c>
      <c r="O46" s="26">
        <f t="shared" si="7"/>
        <v>-348141.6899999995</v>
      </c>
      <c r="P46" s="40">
        <f t="shared" si="4"/>
        <v>-0.034102724776262514</v>
      </c>
      <c r="Q46" s="17"/>
      <c r="R46" s="17"/>
      <c r="S46" s="17"/>
      <c r="T46" s="17"/>
    </row>
    <row r="47" spans="1:20" ht="12.75">
      <c r="A47" s="23">
        <v>39</v>
      </c>
      <c r="B47" s="23" t="s">
        <v>256</v>
      </c>
      <c r="C47" s="170">
        <f>'Table 4 Formula'!BA46</f>
        <v>8651570.92</v>
      </c>
      <c r="D47" s="167">
        <v>0</v>
      </c>
      <c r="E47" s="26">
        <v>-71008</v>
      </c>
      <c r="F47" s="26">
        <v>-93594</v>
      </c>
      <c r="G47" s="50">
        <f t="shared" si="5"/>
        <v>8486968.92</v>
      </c>
      <c r="H47" s="26">
        <v>5836584</v>
      </c>
      <c r="I47" s="26">
        <f t="shared" si="6"/>
        <v>2650384.92</v>
      </c>
      <c r="J47" s="50">
        <f t="shared" si="0"/>
        <v>662596</v>
      </c>
      <c r="K47" s="26">
        <f t="shared" si="1"/>
        <v>729573</v>
      </c>
      <c r="L47" s="26">
        <f t="shared" si="8"/>
        <v>-66977</v>
      </c>
      <c r="M47" s="26">
        <f t="shared" si="3"/>
        <v>8486968.92</v>
      </c>
      <c r="N47" s="50">
        <v>8754881</v>
      </c>
      <c r="O47" s="26">
        <f t="shared" si="7"/>
        <v>-267912.0800000001</v>
      </c>
      <c r="P47" s="40">
        <f t="shared" si="4"/>
        <v>-0.030601453063725262</v>
      </c>
      <c r="Q47" s="17"/>
      <c r="R47" s="17"/>
      <c r="S47" s="17"/>
      <c r="T47" s="17"/>
    </row>
    <row r="48" spans="1:20" ht="12.75">
      <c r="A48" s="42">
        <v>40</v>
      </c>
      <c r="B48" s="43" t="s">
        <v>257</v>
      </c>
      <c r="C48" s="171">
        <f>'Table 4 Formula'!BA47</f>
        <v>74037714.8769</v>
      </c>
      <c r="D48" s="165">
        <v>0</v>
      </c>
      <c r="E48" s="44">
        <v>-150961</v>
      </c>
      <c r="F48" s="44">
        <v>-595403</v>
      </c>
      <c r="G48" s="52">
        <f t="shared" si="5"/>
        <v>73291350.8769</v>
      </c>
      <c r="H48" s="44">
        <v>48751748</v>
      </c>
      <c r="I48" s="44">
        <f t="shared" si="6"/>
        <v>24539602.876900002</v>
      </c>
      <c r="J48" s="52">
        <f t="shared" si="0"/>
        <v>6134901</v>
      </c>
      <c r="K48" s="44">
        <f t="shared" si="1"/>
        <v>6093969</v>
      </c>
      <c r="L48" s="44">
        <f t="shared" si="8"/>
        <v>40932</v>
      </c>
      <c r="M48" s="44">
        <f t="shared" si="3"/>
        <v>73291350.8769</v>
      </c>
      <c r="N48" s="52">
        <v>73122734</v>
      </c>
      <c r="O48" s="44">
        <f t="shared" si="7"/>
        <v>168616.87690000236</v>
      </c>
      <c r="P48" s="45">
        <f t="shared" si="4"/>
        <v>0.002305943277503852</v>
      </c>
      <c r="Q48" s="17"/>
      <c r="R48" s="17"/>
      <c r="S48" s="17"/>
      <c r="T48" s="17"/>
    </row>
    <row r="49" spans="1:20" ht="12.75">
      <c r="A49" s="23">
        <v>41</v>
      </c>
      <c r="B49" s="23" t="s">
        <v>258</v>
      </c>
      <c r="C49" s="170">
        <f>'Table 4 Formula'!BA48</f>
        <v>8394370.7328</v>
      </c>
      <c r="D49" s="167">
        <v>0</v>
      </c>
      <c r="E49" s="26">
        <v>-15300</v>
      </c>
      <c r="F49" s="26">
        <v>-48602</v>
      </c>
      <c r="G49" s="50">
        <f t="shared" si="5"/>
        <v>8330468.732799999</v>
      </c>
      <c r="H49" s="26">
        <v>5314893</v>
      </c>
      <c r="I49" s="26">
        <f t="shared" si="6"/>
        <v>3015575.7327999994</v>
      </c>
      <c r="J49" s="50">
        <f t="shared" si="0"/>
        <v>753894</v>
      </c>
      <c r="K49" s="26">
        <f t="shared" si="1"/>
        <v>664362</v>
      </c>
      <c r="L49" s="26">
        <f t="shared" si="8"/>
        <v>89532</v>
      </c>
      <c r="M49" s="26">
        <f t="shared" si="3"/>
        <v>8330468.732799999</v>
      </c>
      <c r="N49" s="50">
        <v>7973359</v>
      </c>
      <c r="O49" s="26">
        <f t="shared" si="7"/>
        <v>357109.7327999994</v>
      </c>
      <c r="P49" s="40">
        <f t="shared" si="4"/>
        <v>0.04478786579156908</v>
      </c>
      <c r="Q49" s="17"/>
      <c r="R49" s="17"/>
      <c r="S49" s="17"/>
      <c r="T49" s="17"/>
    </row>
    <row r="50" spans="1:20" ht="12.75">
      <c r="A50" s="23">
        <v>42</v>
      </c>
      <c r="B50" s="23" t="s">
        <v>259</v>
      </c>
      <c r="C50" s="170">
        <f>'Table 4 Formula'!BA49</f>
        <v>13704328.2351</v>
      </c>
      <c r="D50" s="167">
        <v>0</v>
      </c>
      <c r="E50" s="26">
        <v>-34901</v>
      </c>
      <c r="F50" s="26">
        <v>-96121</v>
      </c>
      <c r="G50" s="50">
        <f t="shared" si="5"/>
        <v>13573306.2351</v>
      </c>
      <c r="H50" s="26">
        <v>9665693</v>
      </c>
      <c r="I50" s="26">
        <f t="shared" si="6"/>
        <v>3907613.2350999992</v>
      </c>
      <c r="J50" s="50">
        <f t="shared" si="0"/>
        <v>976903</v>
      </c>
      <c r="K50" s="26">
        <f t="shared" si="1"/>
        <v>1208212</v>
      </c>
      <c r="L50" s="26">
        <f t="shared" si="8"/>
        <v>-231309</v>
      </c>
      <c r="M50" s="26">
        <f t="shared" si="3"/>
        <v>13573306.2351</v>
      </c>
      <c r="N50" s="50">
        <v>14488449</v>
      </c>
      <c r="O50" s="26">
        <f t="shared" si="7"/>
        <v>-915142.7649000008</v>
      </c>
      <c r="P50" s="40">
        <f t="shared" si="4"/>
        <v>-0.06316361157084521</v>
      </c>
      <c r="Q50" s="17"/>
      <c r="R50" s="17"/>
      <c r="S50" s="17"/>
      <c r="T50" s="17"/>
    </row>
    <row r="51" spans="1:20" ht="12.75">
      <c r="A51" s="23">
        <v>43</v>
      </c>
      <c r="B51" s="23" t="s">
        <v>260</v>
      </c>
      <c r="C51" s="170">
        <f>'Table 4 Formula'!BA50</f>
        <v>15250880.8397</v>
      </c>
      <c r="D51" s="167">
        <v>0</v>
      </c>
      <c r="E51" s="26">
        <v>-5411</v>
      </c>
      <c r="F51" s="26">
        <v>-103113</v>
      </c>
      <c r="G51" s="50">
        <f t="shared" si="5"/>
        <v>15142356.8397</v>
      </c>
      <c r="H51" s="26">
        <v>10041789</v>
      </c>
      <c r="I51" s="26">
        <f t="shared" si="6"/>
        <v>5100567.8397</v>
      </c>
      <c r="J51" s="50">
        <f t="shared" si="0"/>
        <v>1275142</v>
      </c>
      <c r="K51" s="26">
        <f t="shared" si="1"/>
        <v>1255224</v>
      </c>
      <c r="L51" s="26">
        <f t="shared" si="8"/>
        <v>19918</v>
      </c>
      <c r="M51" s="26">
        <f t="shared" si="3"/>
        <v>15142356.8397</v>
      </c>
      <c r="N51" s="50">
        <v>15055859</v>
      </c>
      <c r="O51" s="26">
        <f t="shared" si="7"/>
        <v>86497.83970000036</v>
      </c>
      <c r="P51" s="40">
        <f t="shared" si="4"/>
        <v>0.005745128172361362</v>
      </c>
      <c r="Q51" s="17"/>
      <c r="R51" s="17"/>
      <c r="S51" s="17"/>
      <c r="T51" s="17"/>
    </row>
    <row r="52" spans="1:20" ht="12.75">
      <c r="A52" s="23">
        <v>44</v>
      </c>
      <c r="B52" s="23" t="s">
        <v>261</v>
      </c>
      <c r="C52" s="170">
        <f>'Table 4 Formula'!BA51</f>
        <v>24527963.7467</v>
      </c>
      <c r="D52" s="166">
        <v>0</v>
      </c>
      <c r="E52" s="26">
        <v>-3965</v>
      </c>
      <c r="F52" s="26">
        <v>-227373</v>
      </c>
      <c r="G52" s="50">
        <f t="shared" si="5"/>
        <v>24296625.7467</v>
      </c>
      <c r="H52" s="26">
        <v>17052422</v>
      </c>
      <c r="I52" s="26">
        <f t="shared" si="6"/>
        <v>7244203.7467</v>
      </c>
      <c r="J52" s="50">
        <f t="shared" si="0"/>
        <v>1811051</v>
      </c>
      <c r="K52" s="26">
        <f t="shared" si="1"/>
        <v>2131553</v>
      </c>
      <c r="L52" s="26">
        <f t="shared" si="8"/>
        <v>-320502</v>
      </c>
      <c r="M52" s="26">
        <f t="shared" si="3"/>
        <v>24296625.7467</v>
      </c>
      <c r="N52" s="50">
        <v>25563237</v>
      </c>
      <c r="O52" s="26">
        <f t="shared" si="7"/>
        <v>-1266611.2533</v>
      </c>
      <c r="P52" s="40">
        <f t="shared" si="4"/>
        <v>-0.04954815594363108</v>
      </c>
      <c r="Q52" s="17"/>
      <c r="R52" s="17"/>
      <c r="S52" s="17"/>
      <c r="T52" s="17"/>
    </row>
    <row r="53" spans="1:20" ht="12.75">
      <c r="A53" s="42">
        <v>45</v>
      </c>
      <c r="B53" s="43" t="s">
        <v>262</v>
      </c>
      <c r="C53" s="171">
        <f>'Table 4 Formula'!BA52</f>
        <v>22018010.5</v>
      </c>
      <c r="D53" s="165">
        <v>0</v>
      </c>
      <c r="E53" s="44">
        <v>-25996</v>
      </c>
      <c r="F53" s="44">
        <v>-390374</v>
      </c>
      <c r="G53" s="52">
        <f t="shared" si="5"/>
        <v>21601640.5</v>
      </c>
      <c r="H53" s="44">
        <v>14639735</v>
      </c>
      <c r="I53" s="44">
        <f t="shared" si="6"/>
        <v>6961905.5</v>
      </c>
      <c r="J53" s="52">
        <f t="shared" si="0"/>
        <v>1740476</v>
      </c>
      <c r="K53" s="44">
        <f t="shared" si="1"/>
        <v>1829967</v>
      </c>
      <c r="L53" s="44">
        <f t="shared" si="8"/>
        <v>-89491</v>
      </c>
      <c r="M53" s="44">
        <f t="shared" si="3"/>
        <v>21601640.5</v>
      </c>
      <c r="N53" s="52">
        <v>21964873</v>
      </c>
      <c r="O53" s="44">
        <f t="shared" si="7"/>
        <v>-363232.5</v>
      </c>
      <c r="P53" s="45">
        <f t="shared" si="4"/>
        <v>-0.01653697246508095</v>
      </c>
      <c r="Q53" s="17"/>
      <c r="R53" s="17"/>
      <c r="S53" s="17"/>
      <c r="T53" s="17"/>
    </row>
    <row r="54" spans="1:20" ht="12.75">
      <c r="A54" s="23">
        <v>46</v>
      </c>
      <c r="B54" s="23" t="s">
        <v>263</v>
      </c>
      <c r="C54" s="170">
        <f>'Table 4 Formula'!BA53</f>
        <v>6135267.4911</v>
      </c>
      <c r="D54" s="167">
        <v>0</v>
      </c>
      <c r="E54" s="26">
        <v>-10240</v>
      </c>
      <c r="F54" s="26">
        <v>-39102</v>
      </c>
      <c r="G54" s="50">
        <f t="shared" si="5"/>
        <v>6085925.4911</v>
      </c>
      <c r="H54" s="26">
        <v>4042512</v>
      </c>
      <c r="I54" s="26">
        <f t="shared" si="6"/>
        <v>2043413.4911000002</v>
      </c>
      <c r="J54" s="50">
        <f t="shared" si="0"/>
        <v>510853</v>
      </c>
      <c r="K54" s="26">
        <f t="shared" si="1"/>
        <v>505314</v>
      </c>
      <c r="L54" s="26">
        <f t="shared" si="8"/>
        <v>5539</v>
      </c>
      <c r="M54" s="26">
        <f t="shared" si="3"/>
        <v>6085925.4911</v>
      </c>
      <c r="N54" s="50">
        <v>6058824</v>
      </c>
      <c r="O54" s="26">
        <f t="shared" si="7"/>
        <v>27101.491100000218</v>
      </c>
      <c r="P54" s="40">
        <f t="shared" si="4"/>
        <v>0.0044730612904418775</v>
      </c>
      <c r="Q54" s="17"/>
      <c r="R54" s="17"/>
      <c r="S54" s="17"/>
      <c r="T54" s="17"/>
    </row>
    <row r="55" spans="1:20" ht="12.75">
      <c r="A55" s="23">
        <v>47</v>
      </c>
      <c r="B55" s="23" t="s">
        <v>264</v>
      </c>
      <c r="C55" s="170">
        <f>'Table 4 Formula'!BA54</f>
        <v>9703633.84</v>
      </c>
      <c r="D55" s="166">
        <v>0</v>
      </c>
      <c r="E55" s="26">
        <v>-16477</v>
      </c>
      <c r="F55" s="26">
        <v>-140011</v>
      </c>
      <c r="G55" s="50">
        <f t="shared" si="5"/>
        <v>9547145.84</v>
      </c>
      <c r="H55" s="26">
        <v>6679787</v>
      </c>
      <c r="I55" s="26">
        <f t="shared" si="6"/>
        <v>2867358.84</v>
      </c>
      <c r="J55" s="50">
        <f t="shared" si="0"/>
        <v>716840</v>
      </c>
      <c r="K55" s="26">
        <f t="shared" si="1"/>
        <v>834973</v>
      </c>
      <c r="L55" s="26">
        <f t="shared" si="8"/>
        <v>-118133</v>
      </c>
      <c r="M55" s="26">
        <f t="shared" si="3"/>
        <v>9547145.84</v>
      </c>
      <c r="N55" s="50">
        <v>10021390</v>
      </c>
      <c r="O55" s="26">
        <f t="shared" si="7"/>
        <v>-474244.16000000015</v>
      </c>
      <c r="P55" s="40">
        <f t="shared" si="4"/>
        <v>-0.04732319169296875</v>
      </c>
      <c r="Q55" s="17"/>
      <c r="R55" s="17"/>
      <c r="S55" s="17"/>
      <c r="T55" s="17"/>
    </row>
    <row r="56" spans="1:20" ht="12.75">
      <c r="A56" s="23">
        <v>48</v>
      </c>
      <c r="B56" s="23" t="s">
        <v>265</v>
      </c>
      <c r="C56" s="170">
        <f>'Table 4 Formula'!BA55</f>
        <v>20922108.7519</v>
      </c>
      <c r="D56" s="167">
        <v>0</v>
      </c>
      <c r="E56" s="26">
        <v>-5880</v>
      </c>
      <c r="F56" s="26">
        <v>-148542</v>
      </c>
      <c r="G56" s="50">
        <f t="shared" si="5"/>
        <v>20767686.7519</v>
      </c>
      <c r="H56" s="26">
        <v>14031968</v>
      </c>
      <c r="I56" s="26">
        <f t="shared" si="6"/>
        <v>6735718.751899999</v>
      </c>
      <c r="J56" s="50">
        <f t="shared" si="0"/>
        <v>1683930</v>
      </c>
      <c r="K56" s="26">
        <f t="shared" si="1"/>
        <v>1753996</v>
      </c>
      <c r="L56" s="26">
        <f t="shared" si="8"/>
        <v>-70066</v>
      </c>
      <c r="M56" s="26">
        <f t="shared" si="3"/>
        <v>20767686.7519</v>
      </c>
      <c r="N56" s="50">
        <v>21031677</v>
      </c>
      <c r="O56" s="26">
        <f t="shared" si="7"/>
        <v>-263990.24810000136</v>
      </c>
      <c r="P56" s="40">
        <f t="shared" si="4"/>
        <v>-0.012552030354022714</v>
      </c>
      <c r="Q56" s="17"/>
      <c r="R56" s="17"/>
      <c r="S56" s="17"/>
      <c r="T56" s="17"/>
    </row>
    <row r="57" spans="1:20" ht="12.75">
      <c r="A57" s="23">
        <v>49</v>
      </c>
      <c r="B57" s="23" t="s">
        <v>266</v>
      </c>
      <c r="C57" s="170">
        <f>'Table 4 Formula'!BA56</f>
        <v>52024061.2586</v>
      </c>
      <c r="D57" s="167">
        <v>0</v>
      </c>
      <c r="E57" s="26">
        <v>-16364</v>
      </c>
      <c r="F57" s="26">
        <v>-372970</v>
      </c>
      <c r="G57" s="50">
        <f t="shared" si="5"/>
        <v>51634727.2586</v>
      </c>
      <c r="H57" s="26">
        <v>34258295</v>
      </c>
      <c r="I57" s="26">
        <f t="shared" si="6"/>
        <v>17376432.258599997</v>
      </c>
      <c r="J57" s="50">
        <f t="shared" si="0"/>
        <v>4344108</v>
      </c>
      <c r="K57" s="26">
        <f t="shared" si="1"/>
        <v>4282287</v>
      </c>
      <c r="L57" s="26">
        <f t="shared" si="8"/>
        <v>61821</v>
      </c>
      <c r="M57" s="26">
        <f t="shared" si="3"/>
        <v>51634727.2586</v>
      </c>
      <c r="N57" s="50">
        <v>51365981</v>
      </c>
      <c r="O57" s="26">
        <f t="shared" si="7"/>
        <v>268746.25859999657</v>
      </c>
      <c r="P57" s="40">
        <f t="shared" si="4"/>
        <v>0.005231989214807297</v>
      </c>
      <c r="Q57" s="17"/>
      <c r="R57" s="17"/>
      <c r="S57" s="17"/>
      <c r="T57" s="17"/>
    </row>
    <row r="58" spans="1:20" ht="12.75">
      <c r="A58" s="42">
        <v>50</v>
      </c>
      <c r="B58" s="43" t="s">
        <v>267</v>
      </c>
      <c r="C58" s="171">
        <f>'Table 4 Formula'!BA57</f>
        <v>30854421.9511</v>
      </c>
      <c r="D58" s="165">
        <v>0</v>
      </c>
      <c r="E58" s="44">
        <v>-2230</v>
      </c>
      <c r="F58" s="44">
        <v>-202426</v>
      </c>
      <c r="G58" s="52">
        <f t="shared" si="5"/>
        <v>30649765.9511</v>
      </c>
      <c r="H58" s="44">
        <v>20686817</v>
      </c>
      <c r="I58" s="44">
        <f t="shared" si="6"/>
        <v>9962948.9511</v>
      </c>
      <c r="J58" s="52">
        <f t="shared" si="0"/>
        <v>2490737</v>
      </c>
      <c r="K58" s="44">
        <f t="shared" si="1"/>
        <v>2585852</v>
      </c>
      <c r="L58" s="44">
        <f t="shared" si="8"/>
        <v>-95115</v>
      </c>
      <c r="M58" s="44">
        <f t="shared" si="3"/>
        <v>30649765.9511</v>
      </c>
      <c r="N58" s="52">
        <v>31020499</v>
      </c>
      <c r="O58" s="44">
        <f t="shared" si="7"/>
        <v>-370733.04890000075</v>
      </c>
      <c r="P58" s="45">
        <f t="shared" si="4"/>
        <v>-0.01195122776393767</v>
      </c>
      <c r="Q58" s="17"/>
      <c r="R58" s="17"/>
      <c r="S58" s="17"/>
      <c r="T58" s="17"/>
    </row>
    <row r="59" spans="1:20" ht="12.75">
      <c r="A59" s="23">
        <v>51</v>
      </c>
      <c r="B59" s="23" t="s">
        <v>268</v>
      </c>
      <c r="C59" s="170">
        <f>'Table 4 Formula'!BA58</f>
        <v>32426190.3148</v>
      </c>
      <c r="D59" s="167">
        <v>6866</v>
      </c>
      <c r="E59" s="26">
        <v>0</v>
      </c>
      <c r="F59" s="26">
        <v>-300086</v>
      </c>
      <c r="G59" s="50">
        <f t="shared" si="5"/>
        <v>32132970.3148</v>
      </c>
      <c r="H59" s="26">
        <v>20871520</v>
      </c>
      <c r="I59" s="26">
        <f t="shared" si="6"/>
        <v>11261450.314800002</v>
      </c>
      <c r="J59" s="50">
        <f t="shared" si="0"/>
        <v>2815363</v>
      </c>
      <c r="K59" s="26">
        <f t="shared" si="1"/>
        <v>2608940</v>
      </c>
      <c r="L59" s="26">
        <f t="shared" si="8"/>
        <v>206423</v>
      </c>
      <c r="M59" s="26">
        <f t="shared" si="3"/>
        <v>32132970.3148</v>
      </c>
      <c r="N59" s="50">
        <v>31296710</v>
      </c>
      <c r="O59" s="26">
        <f t="shared" si="7"/>
        <v>836260.3148000017</v>
      </c>
      <c r="P59" s="40">
        <f t="shared" si="4"/>
        <v>0.026720390571405163</v>
      </c>
      <c r="Q59" s="17"/>
      <c r="R59" s="17"/>
      <c r="S59" s="17"/>
      <c r="T59" s="17"/>
    </row>
    <row r="60" spans="1:20" ht="12.75">
      <c r="A60" s="23">
        <v>52</v>
      </c>
      <c r="B60" s="23" t="s">
        <v>269</v>
      </c>
      <c r="C60" s="170">
        <f>'Table 4 Formula'!BA59</f>
        <v>113757380.9826</v>
      </c>
      <c r="D60" s="167">
        <v>0</v>
      </c>
      <c r="E60" s="26">
        <v>-16560</v>
      </c>
      <c r="F60" s="26">
        <v>-916864</v>
      </c>
      <c r="G60" s="50">
        <f t="shared" si="5"/>
        <v>112823956.9826</v>
      </c>
      <c r="H60" s="26">
        <v>75746744</v>
      </c>
      <c r="I60" s="26">
        <f t="shared" si="6"/>
        <v>37077212.9826</v>
      </c>
      <c r="J60" s="50">
        <f t="shared" si="0"/>
        <v>9269303</v>
      </c>
      <c r="K60" s="26">
        <f t="shared" si="1"/>
        <v>9468343</v>
      </c>
      <c r="L60" s="26">
        <f t="shared" si="8"/>
        <v>-199040</v>
      </c>
      <c r="M60" s="26">
        <f t="shared" si="3"/>
        <v>112823956.9826</v>
      </c>
      <c r="N60" s="50">
        <v>113707803</v>
      </c>
      <c r="O60" s="26">
        <f t="shared" si="7"/>
        <v>-883846.0173999965</v>
      </c>
      <c r="P60" s="40">
        <f t="shared" si="4"/>
        <v>-0.007772958355373347</v>
      </c>
      <c r="Q60" s="17"/>
      <c r="R60" s="17"/>
      <c r="S60" s="17"/>
      <c r="T60" s="17"/>
    </row>
    <row r="61" spans="1:20" ht="12.75">
      <c r="A61" s="23">
        <v>53</v>
      </c>
      <c r="B61" s="23" t="s">
        <v>270</v>
      </c>
      <c r="C61" s="170">
        <f>'Table 4 Formula'!BA60</f>
        <v>63434395.5491</v>
      </c>
      <c r="D61" s="167">
        <v>0</v>
      </c>
      <c r="E61" s="26">
        <f>-45833-21930</f>
        <v>-67763</v>
      </c>
      <c r="F61" s="26">
        <v>-383800</v>
      </c>
      <c r="G61" s="50">
        <f t="shared" si="5"/>
        <v>62982832.5491</v>
      </c>
      <c r="H61" s="26">
        <v>41780873</v>
      </c>
      <c r="I61" s="26">
        <f t="shared" si="6"/>
        <v>21201959.549099997</v>
      </c>
      <c r="J61" s="50">
        <f t="shared" si="0"/>
        <v>5300490</v>
      </c>
      <c r="K61" s="26">
        <f t="shared" si="1"/>
        <v>5222609</v>
      </c>
      <c r="L61" s="26">
        <f t="shared" si="8"/>
        <v>77881</v>
      </c>
      <c r="M61" s="26">
        <f t="shared" si="3"/>
        <v>62982832.5491</v>
      </c>
      <c r="N61" s="50">
        <v>62723266</v>
      </c>
      <c r="O61" s="26">
        <f t="shared" si="7"/>
        <v>259566.5490999967</v>
      </c>
      <c r="P61" s="40">
        <f t="shared" si="4"/>
        <v>0.0041382817836685465</v>
      </c>
      <c r="Q61" s="17"/>
      <c r="R61" s="17"/>
      <c r="S61" s="17"/>
      <c r="T61" s="17"/>
    </row>
    <row r="62" spans="1:20" ht="12.75">
      <c r="A62" s="23">
        <v>54</v>
      </c>
      <c r="B62" s="23" t="s">
        <v>271</v>
      </c>
      <c r="C62" s="170">
        <f>'Table 4 Formula'!BA61</f>
        <v>4486299.9977</v>
      </c>
      <c r="D62" s="167">
        <v>0</v>
      </c>
      <c r="E62" s="26">
        <v>-7095</v>
      </c>
      <c r="F62" s="26">
        <v>-29070</v>
      </c>
      <c r="G62" s="50">
        <f t="shared" si="5"/>
        <v>4450134.9977</v>
      </c>
      <c r="H62" s="26">
        <v>3146307</v>
      </c>
      <c r="I62" s="26">
        <f t="shared" si="6"/>
        <v>1303827.9977000002</v>
      </c>
      <c r="J62" s="50">
        <f t="shared" si="0"/>
        <v>325957</v>
      </c>
      <c r="K62" s="26">
        <f t="shared" si="1"/>
        <v>393288</v>
      </c>
      <c r="L62" s="26">
        <f t="shared" si="8"/>
        <v>-67331</v>
      </c>
      <c r="M62" s="26">
        <f t="shared" si="3"/>
        <v>4450134.9977</v>
      </c>
      <c r="N62" s="50">
        <v>4750805</v>
      </c>
      <c r="O62" s="26">
        <f t="shared" si="7"/>
        <v>-300670.0022999998</v>
      </c>
      <c r="P62" s="40">
        <f t="shared" si="4"/>
        <v>-0.06328822216445419</v>
      </c>
      <c r="Q62" s="17"/>
      <c r="R62" s="17"/>
      <c r="S62" s="17"/>
      <c r="T62" s="17"/>
    </row>
    <row r="63" spans="1:20" ht="12.75">
      <c r="A63" s="42">
        <v>55</v>
      </c>
      <c r="B63" s="43" t="s">
        <v>272</v>
      </c>
      <c r="C63" s="171">
        <f>'Table 4 Formula'!BA62</f>
        <v>62731156.959</v>
      </c>
      <c r="D63" s="165">
        <v>0</v>
      </c>
      <c r="E63" s="44">
        <v>-93925</v>
      </c>
      <c r="F63" s="44">
        <v>-508953</v>
      </c>
      <c r="G63" s="52">
        <f t="shared" si="5"/>
        <v>62128278.959</v>
      </c>
      <c r="H63" s="44">
        <v>41902087</v>
      </c>
      <c r="I63" s="44">
        <f t="shared" si="6"/>
        <v>20226191.959</v>
      </c>
      <c r="J63" s="52">
        <f t="shared" si="0"/>
        <v>5056548</v>
      </c>
      <c r="K63" s="44">
        <f t="shared" si="1"/>
        <v>5237761</v>
      </c>
      <c r="L63" s="44">
        <f t="shared" si="8"/>
        <v>-181213</v>
      </c>
      <c r="M63" s="44">
        <f t="shared" si="3"/>
        <v>62128278.959</v>
      </c>
      <c r="N63" s="52">
        <v>62867691</v>
      </c>
      <c r="O63" s="44">
        <f t="shared" si="7"/>
        <v>-739412.0410000011</v>
      </c>
      <c r="P63" s="45">
        <f t="shared" si="4"/>
        <v>-0.011761399683026391</v>
      </c>
      <c r="Q63" s="17"/>
      <c r="R63" s="17"/>
      <c r="S63" s="17"/>
      <c r="T63" s="17"/>
    </row>
    <row r="64" spans="1:20" ht="12.75">
      <c r="A64" s="23">
        <v>56</v>
      </c>
      <c r="B64" s="23" t="s">
        <v>273</v>
      </c>
      <c r="C64" s="170">
        <f>'Table 4 Formula'!BA63</f>
        <v>11728000.7962</v>
      </c>
      <c r="D64" s="167">
        <v>0</v>
      </c>
      <c r="E64" s="26">
        <v>-7194</v>
      </c>
      <c r="F64" s="26">
        <v>-75867</v>
      </c>
      <c r="G64" s="50">
        <f t="shared" si="5"/>
        <v>11644939.7962</v>
      </c>
      <c r="H64" s="26">
        <v>7726030</v>
      </c>
      <c r="I64" s="26">
        <f t="shared" si="6"/>
        <v>3918909.7961999997</v>
      </c>
      <c r="J64" s="50">
        <f t="shared" si="0"/>
        <v>979727</v>
      </c>
      <c r="K64" s="26">
        <f t="shared" si="1"/>
        <v>965754</v>
      </c>
      <c r="L64" s="26">
        <f t="shared" si="8"/>
        <v>13973</v>
      </c>
      <c r="M64" s="26">
        <f t="shared" si="3"/>
        <v>11644939.7962</v>
      </c>
      <c r="N64" s="50">
        <v>11579824</v>
      </c>
      <c r="O64" s="26">
        <f t="shared" si="7"/>
        <v>65115.79619999975</v>
      </c>
      <c r="P64" s="40">
        <f t="shared" si="4"/>
        <v>0.005623211216336254</v>
      </c>
      <c r="Q64" s="17"/>
      <c r="R64" s="17"/>
      <c r="S64" s="17"/>
      <c r="T64" s="17"/>
    </row>
    <row r="65" spans="1:20" ht="12.75">
      <c r="A65" s="23">
        <v>57</v>
      </c>
      <c r="B65" s="23" t="s">
        <v>274</v>
      </c>
      <c r="C65" s="170">
        <f>'Table 4 Formula'!BA64</f>
        <v>26635585.3517</v>
      </c>
      <c r="D65" s="167">
        <v>5720</v>
      </c>
      <c r="E65" s="26">
        <v>0</v>
      </c>
      <c r="F65" s="26">
        <v>-233453</v>
      </c>
      <c r="G65" s="50">
        <f t="shared" si="5"/>
        <v>26407852.3517</v>
      </c>
      <c r="H65" s="26">
        <v>16311312</v>
      </c>
      <c r="I65" s="26">
        <f t="shared" si="6"/>
        <v>10096540.3517</v>
      </c>
      <c r="J65" s="50">
        <f t="shared" si="0"/>
        <v>2524135</v>
      </c>
      <c r="K65" s="26">
        <f t="shared" si="1"/>
        <v>2038914</v>
      </c>
      <c r="L65" s="26">
        <f t="shared" si="8"/>
        <v>485221</v>
      </c>
      <c r="M65" s="26">
        <f t="shared" si="3"/>
        <v>26407852.3517</v>
      </c>
      <c r="N65" s="50">
        <v>24469320</v>
      </c>
      <c r="O65" s="26">
        <f t="shared" si="7"/>
        <v>1938532.3517000005</v>
      </c>
      <c r="P65" s="40">
        <f t="shared" si="4"/>
        <v>0.07922297602467092</v>
      </c>
      <c r="Q65" s="17"/>
      <c r="R65" s="17"/>
      <c r="S65" s="17"/>
      <c r="T65" s="17"/>
    </row>
    <row r="66" spans="1:20" ht="12.75">
      <c r="A66" s="23">
        <v>58</v>
      </c>
      <c r="B66" s="23" t="s">
        <v>275</v>
      </c>
      <c r="C66" s="170">
        <f>'Table 4 Formula'!BA65</f>
        <v>36440217.1537</v>
      </c>
      <c r="D66" s="167">
        <v>10634</v>
      </c>
      <c r="E66" s="26">
        <v>0</v>
      </c>
      <c r="F66" s="26">
        <v>-314241</v>
      </c>
      <c r="G66" s="50">
        <f t="shared" si="5"/>
        <v>36136610.1537</v>
      </c>
      <c r="H66" s="26">
        <v>24309306</v>
      </c>
      <c r="I66" s="26">
        <f t="shared" si="6"/>
        <v>11827304.153700002</v>
      </c>
      <c r="J66" s="50">
        <f t="shared" si="0"/>
        <v>2956826</v>
      </c>
      <c r="K66" s="26">
        <f t="shared" si="1"/>
        <v>3038663</v>
      </c>
      <c r="L66" s="26">
        <f t="shared" si="8"/>
        <v>-81837</v>
      </c>
      <c r="M66" s="26">
        <f t="shared" si="3"/>
        <v>36136610.1537</v>
      </c>
      <c r="N66" s="50">
        <v>36443654</v>
      </c>
      <c r="O66" s="26">
        <f t="shared" si="7"/>
        <v>-307043.84629999846</v>
      </c>
      <c r="P66" s="40">
        <f t="shared" si="4"/>
        <v>-0.00842516632113779</v>
      </c>
      <c r="Q66" s="17"/>
      <c r="R66" s="17"/>
      <c r="S66" s="17"/>
      <c r="T66" s="17"/>
    </row>
    <row r="67" spans="1:20" ht="12.75">
      <c r="A67" s="23">
        <v>59</v>
      </c>
      <c r="B67" s="23" t="s">
        <v>276</v>
      </c>
      <c r="C67" s="170">
        <f>'Table 4 Formula'!BA66</f>
        <v>18749583.1751</v>
      </c>
      <c r="D67" s="166">
        <v>1282</v>
      </c>
      <c r="E67" s="26">
        <v>0</v>
      </c>
      <c r="F67" s="26">
        <v>-119510</v>
      </c>
      <c r="G67" s="50">
        <f t="shared" si="5"/>
        <v>18631355.1751</v>
      </c>
      <c r="H67" s="26">
        <v>12362322</v>
      </c>
      <c r="I67" s="26">
        <f t="shared" si="6"/>
        <v>6269033.175099999</v>
      </c>
      <c r="J67" s="50">
        <f t="shared" si="0"/>
        <v>1567258</v>
      </c>
      <c r="K67" s="26">
        <f t="shared" si="1"/>
        <v>1545290</v>
      </c>
      <c r="L67" s="26">
        <f t="shared" si="8"/>
        <v>21968</v>
      </c>
      <c r="M67" s="26">
        <f t="shared" si="3"/>
        <v>18631355.1751</v>
      </c>
      <c r="N67" s="50">
        <v>18532013</v>
      </c>
      <c r="O67" s="26">
        <f t="shared" si="7"/>
        <v>99342.17509999871</v>
      </c>
      <c r="P67" s="40">
        <f t="shared" si="4"/>
        <v>0.005360571196447937</v>
      </c>
      <c r="Q67" s="17"/>
      <c r="R67" s="17"/>
      <c r="S67" s="17"/>
      <c r="T67" s="17"/>
    </row>
    <row r="68" spans="1:20" ht="12.75">
      <c r="A68" s="42">
        <v>60</v>
      </c>
      <c r="B68" s="43" t="s">
        <v>277</v>
      </c>
      <c r="C68" s="171">
        <f>'Table 4 Formula'!BA67</f>
        <v>25034833.9932</v>
      </c>
      <c r="D68" s="165">
        <v>0</v>
      </c>
      <c r="E68" s="44">
        <v>-9709</v>
      </c>
      <c r="F68" s="44">
        <v>-188119</v>
      </c>
      <c r="G68" s="52">
        <f t="shared" si="5"/>
        <v>24837005.9932</v>
      </c>
      <c r="H68" s="44">
        <v>16543240</v>
      </c>
      <c r="I68" s="44">
        <f t="shared" si="6"/>
        <v>8293765.9932</v>
      </c>
      <c r="J68" s="52">
        <f t="shared" si="0"/>
        <v>2073441</v>
      </c>
      <c r="K68" s="44">
        <f t="shared" si="1"/>
        <v>2067905</v>
      </c>
      <c r="L68" s="44">
        <f t="shared" si="8"/>
        <v>5536</v>
      </c>
      <c r="M68" s="44">
        <f t="shared" si="3"/>
        <v>24837005.9932</v>
      </c>
      <c r="N68" s="52">
        <v>24814608</v>
      </c>
      <c r="O68" s="44">
        <f t="shared" si="7"/>
        <v>22397.993200000376</v>
      </c>
      <c r="P68" s="45">
        <f t="shared" si="4"/>
        <v>0.0009026132187943641</v>
      </c>
      <c r="Q68" s="17"/>
      <c r="R68" s="17"/>
      <c r="S68" s="17"/>
      <c r="T68" s="17"/>
    </row>
    <row r="69" spans="1:20" ht="12.75">
      <c r="A69" s="23">
        <v>61</v>
      </c>
      <c r="B69" s="23" t="s">
        <v>278</v>
      </c>
      <c r="C69" s="170">
        <f>'Table 4 Formula'!BA68</f>
        <v>8726331.6</v>
      </c>
      <c r="D69" s="167">
        <v>0</v>
      </c>
      <c r="E69" s="26">
        <v>-27183</v>
      </c>
      <c r="F69" s="26">
        <v>-89376</v>
      </c>
      <c r="G69" s="50">
        <f t="shared" si="5"/>
        <v>8609772.6</v>
      </c>
      <c r="H69" s="26">
        <v>5886776</v>
      </c>
      <c r="I69" s="26">
        <f t="shared" si="6"/>
        <v>2722996.5999999996</v>
      </c>
      <c r="J69" s="50">
        <f t="shared" si="0"/>
        <v>680749</v>
      </c>
      <c r="K69" s="26">
        <f t="shared" si="1"/>
        <v>735847</v>
      </c>
      <c r="L69" s="26">
        <f t="shared" si="8"/>
        <v>-55098</v>
      </c>
      <c r="M69" s="26">
        <f t="shared" si="3"/>
        <v>8609772.6</v>
      </c>
      <c r="N69" s="50">
        <v>8830167</v>
      </c>
      <c r="O69" s="26">
        <f t="shared" si="7"/>
        <v>-220394.40000000037</v>
      </c>
      <c r="P69" s="40">
        <f t="shared" si="4"/>
        <v>-0.024959256149968665</v>
      </c>
      <c r="Q69" s="17"/>
      <c r="R69" s="17"/>
      <c r="S69" s="17"/>
      <c r="T69" s="17"/>
    </row>
    <row r="70" spans="1:20" ht="12.75">
      <c r="A70" s="23">
        <v>62</v>
      </c>
      <c r="B70" s="23" t="s">
        <v>279</v>
      </c>
      <c r="C70" s="170">
        <f>'Table 4 Formula'!BA69</f>
        <v>9205941.7394</v>
      </c>
      <c r="D70" s="166">
        <v>860</v>
      </c>
      <c r="E70" s="26">
        <v>0</v>
      </c>
      <c r="F70" s="26">
        <v>-55366</v>
      </c>
      <c r="G70" s="50">
        <f t="shared" si="5"/>
        <v>9151435.7394</v>
      </c>
      <c r="H70" s="26">
        <v>6134576</v>
      </c>
      <c r="I70" s="26">
        <f t="shared" si="6"/>
        <v>3016859.7393999994</v>
      </c>
      <c r="J70" s="50">
        <f t="shared" si="0"/>
        <v>754215</v>
      </c>
      <c r="K70" s="26">
        <f t="shared" si="1"/>
        <v>766822</v>
      </c>
      <c r="L70" s="26">
        <f t="shared" si="8"/>
        <v>-12607</v>
      </c>
      <c r="M70" s="26">
        <f t="shared" si="3"/>
        <v>9151435.7394</v>
      </c>
      <c r="N70" s="50">
        <v>9199073</v>
      </c>
      <c r="O70" s="26">
        <f t="shared" si="7"/>
        <v>-47637.26060000062</v>
      </c>
      <c r="P70" s="40">
        <f t="shared" si="4"/>
        <v>-0.005178484897337006</v>
      </c>
      <c r="Q70" s="17"/>
      <c r="R70" s="17"/>
      <c r="S70" s="17"/>
      <c r="T70" s="17"/>
    </row>
    <row r="71" spans="1:20" ht="12.75">
      <c r="A71" s="23">
        <v>63</v>
      </c>
      <c r="B71" s="23" t="s">
        <v>280</v>
      </c>
      <c r="C71" s="170">
        <f>'Table 4 Formula'!BA70</f>
        <v>6767444</v>
      </c>
      <c r="D71" s="167">
        <v>0</v>
      </c>
      <c r="E71" s="26">
        <v>0</v>
      </c>
      <c r="F71" s="26">
        <v>-78774</v>
      </c>
      <c r="G71" s="50">
        <f t="shared" si="5"/>
        <v>6688670</v>
      </c>
      <c r="H71" s="26">
        <v>4459112</v>
      </c>
      <c r="I71" s="26">
        <f t="shared" si="6"/>
        <v>2229558</v>
      </c>
      <c r="J71" s="50">
        <f t="shared" si="0"/>
        <v>557390</v>
      </c>
      <c r="K71" s="26">
        <f t="shared" si="1"/>
        <v>557389</v>
      </c>
      <c r="L71" s="26">
        <f t="shared" si="8"/>
        <v>1</v>
      </c>
      <c r="M71" s="26">
        <f t="shared" si="3"/>
        <v>6688670</v>
      </c>
      <c r="N71" s="50">
        <v>6688670</v>
      </c>
      <c r="O71" s="26">
        <f t="shared" si="7"/>
        <v>0</v>
      </c>
      <c r="P71" s="40">
        <f t="shared" si="4"/>
        <v>0</v>
      </c>
      <c r="Q71" s="17"/>
      <c r="R71" s="17"/>
      <c r="S71" s="17"/>
      <c r="T71" s="17"/>
    </row>
    <row r="72" spans="1:20" ht="12.75">
      <c r="A72" s="23">
        <v>64</v>
      </c>
      <c r="B72" s="23" t="s">
        <v>281</v>
      </c>
      <c r="C72" s="170">
        <f>'Table 4 Formula'!BA71</f>
        <v>10513817.4183</v>
      </c>
      <c r="D72" s="167">
        <v>0</v>
      </c>
      <c r="E72" s="26">
        <v>-7291</v>
      </c>
      <c r="F72" s="26">
        <v>-69179</v>
      </c>
      <c r="G72" s="50">
        <f t="shared" si="5"/>
        <v>10437347.4183</v>
      </c>
      <c r="H72" s="26">
        <v>7286561</v>
      </c>
      <c r="I72" s="26">
        <f t="shared" si="6"/>
        <v>3150786.418299999</v>
      </c>
      <c r="J72" s="50">
        <f t="shared" si="0"/>
        <v>787697</v>
      </c>
      <c r="K72" s="26">
        <f t="shared" si="1"/>
        <v>910820</v>
      </c>
      <c r="L72" s="26">
        <f t="shared" si="8"/>
        <v>-123123</v>
      </c>
      <c r="M72" s="26">
        <f t="shared" si="3"/>
        <v>10437347.4183</v>
      </c>
      <c r="N72" s="50">
        <v>10924710</v>
      </c>
      <c r="O72" s="26">
        <f t="shared" si="7"/>
        <v>-487362.5817000009</v>
      </c>
      <c r="P72" s="40">
        <f t="shared" si="4"/>
        <v>-0.0446110314781812</v>
      </c>
      <c r="Q72" s="17"/>
      <c r="R72" s="17"/>
      <c r="S72" s="17"/>
      <c r="T72" s="17"/>
    </row>
    <row r="73" spans="1:20" ht="12.75">
      <c r="A73" s="23">
        <v>65</v>
      </c>
      <c r="B73" s="23" t="s">
        <v>282</v>
      </c>
      <c r="C73" s="170">
        <f>'Table 4 Formula'!BA72</f>
        <v>24680328.119999997</v>
      </c>
      <c r="D73" s="167">
        <v>0</v>
      </c>
      <c r="E73" s="26">
        <v>-92474</v>
      </c>
      <c r="F73" s="26">
        <v>-210900</v>
      </c>
      <c r="G73" s="50">
        <f t="shared" si="5"/>
        <v>24376954.119999997</v>
      </c>
      <c r="H73" s="26">
        <v>16272212</v>
      </c>
      <c r="I73" s="26">
        <f t="shared" si="6"/>
        <v>8104742.119999997</v>
      </c>
      <c r="J73" s="50">
        <f>ROUND(I73/4,0)</f>
        <v>2026186</v>
      </c>
      <c r="K73" s="26">
        <f>ROUND(H73/8,0)</f>
        <v>2034027</v>
      </c>
      <c r="L73" s="26">
        <f>J73-K73</f>
        <v>-7841</v>
      </c>
      <c r="M73" s="26">
        <f>G73</f>
        <v>24376954.119999997</v>
      </c>
      <c r="N73" s="50">
        <v>24398975</v>
      </c>
      <c r="O73" s="26">
        <f t="shared" si="7"/>
        <v>-22020.880000002682</v>
      </c>
      <c r="P73" s="40">
        <f>O73/N73</f>
        <v>-0.000902532995750956</v>
      </c>
      <c r="Q73" s="17"/>
      <c r="R73" s="17"/>
      <c r="S73" s="17"/>
      <c r="T73" s="17"/>
    </row>
    <row r="74" spans="1:20" ht="12.75">
      <c r="A74" s="42">
        <v>66</v>
      </c>
      <c r="B74" s="43" t="s">
        <v>283</v>
      </c>
      <c r="C74" s="171">
        <f>'Table 4 Formula'!BA73</f>
        <v>11389807.2693</v>
      </c>
      <c r="D74" s="165">
        <v>0</v>
      </c>
      <c r="E74" s="44">
        <v>-4892</v>
      </c>
      <c r="F74" s="44">
        <v>-74442</v>
      </c>
      <c r="G74" s="52">
        <f>SUM(C74+D74+E74+F74)</f>
        <v>11310473.2693</v>
      </c>
      <c r="H74" s="44">
        <v>7772235</v>
      </c>
      <c r="I74" s="44">
        <f>SUM(G74-H74)</f>
        <v>3538238.2693000007</v>
      </c>
      <c r="J74" s="52">
        <f>ROUND(I74/4,0)</f>
        <v>884560</v>
      </c>
      <c r="K74" s="44">
        <f>ROUND(H74/8,0)</f>
        <v>971529</v>
      </c>
      <c r="L74" s="44">
        <f>J74-K74</f>
        <v>-86969</v>
      </c>
      <c r="M74" s="44">
        <f>G74</f>
        <v>11310473.2693</v>
      </c>
      <c r="N74" s="52">
        <v>11650547</v>
      </c>
      <c r="O74" s="44">
        <f>G74-N74</f>
        <v>-340073.73069999926</v>
      </c>
      <c r="P74" s="45">
        <f>O74/N74</f>
        <v>-0.029189507642859967</v>
      </c>
      <c r="Q74" s="17"/>
      <c r="R74" s="17"/>
      <c r="S74" s="17"/>
      <c r="T74" s="17"/>
    </row>
    <row r="75" spans="1:20" ht="15.75" customHeight="1">
      <c r="A75" s="46"/>
      <c r="B75" s="46"/>
      <c r="C75" s="47"/>
      <c r="D75" s="48"/>
      <c r="E75" s="49"/>
      <c r="F75" s="49"/>
      <c r="G75" s="50"/>
      <c r="H75" s="49"/>
      <c r="I75" s="49"/>
      <c r="J75" s="49"/>
      <c r="K75" s="49"/>
      <c r="L75" s="49"/>
      <c r="M75" s="49"/>
      <c r="N75" s="49"/>
      <c r="O75" s="49"/>
      <c r="P75" s="51"/>
      <c r="Q75" s="17"/>
      <c r="R75" s="17"/>
      <c r="S75" s="17"/>
      <c r="T75" s="17"/>
    </row>
    <row r="76" spans="1:20" s="19" customFormat="1" ht="13.5" thickBot="1">
      <c r="A76" s="27"/>
      <c r="B76" s="28" t="s">
        <v>284</v>
      </c>
      <c r="C76" s="29">
        <f aca="true" t="shared" si="9" ref="C76:J76">SUM(C9:C74)</f>
        <v>2238866308.0222</v>
      </c>
      <c r="D76" s="29">
        <f t="shared" si="9"/>
        <v>209944</v>
      </c>
      <c r="E76" s="29">
        <f t="shared" si="9"/>
        <v>-2486795</v>
      </c>
      <c r="F76" s="30">
        <f t="shared" si="9"/>
        <v>-19000019</v>
      </c>
      <c r="G76" s="29">
        <f t="shared" si="9"/>
        <v>2217589438.0222006</v>
      </c>
      <c r="H76" s="30">
        <f t="shared" si="9"/>
        <v>1495826693</v>
      </c>
      <c r="I76" s="30">
        <f t="shared" si="9"/>
        <v>721762745.0221999</v>
      </c>
      <c r="J76" s="30">
        <f t="shared" si="9"/>
        <v>180440685</v>
      </c>
      <c r="K76" s="30">
        <f>SUM(K9:K74)</f>
        <v>186978341</v>
      </c>
      <c r="L76" s="30">
        <f>SUM(L9:L74)</f>
        <v>-6537656</v>
      </c>
      <c r="M76" s="30">
        <f>SUM(M9:M74)</f>
        <v>2217589438.0222006</v>
      </c>
      <c r="N76" s="30">
        <f>SUM(N9:N74)</f>
        <v>2243854176</v>
      </c>
      <c r="O76" s="30">
        <f>SUM(O9:O74)</f>
        <v>-26264737.97780002</v>
      </c>
      <c r="P76" s="41">
        <f>O76/N76</f>
        <v>-0.011705189338382398</v>
      </c>
      <c r="Q76" s="18"/>
      <c r="R76" s="18"/>
      <c r="S76" s="18"/>
      <c r="T76" s="18"/>
    </row>
    <row r="77" spans="2:16" ht="52.5" customHeight="1" hidden="1" thickTop="1">
      <c r="B77" s="375" t="s">
        <v>548</v>
      </c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</row>
    <row r="78" ht="13.5" thickTop="1">
      <c r="E78" s="169"/>
    </row>
    <row r="79" ht="12.75">
      <c r="O79" s="169"/>
    </row>
    <row r="80" ht="12.75">
      <c r="E80" s="169"/>
    </row>
  </sheetData>
  <sheetProtection sheet="1" objects="1" scenarios="1"/>
  <mergeCells count="20">
    <mergeCell ref="C1:G1"/>
    <mergeCell ref="C2:G2"/>
    <mergeCell ref="H2:O2"/>
    <mergeCell ref="H1:O1"/>
    <mergeCell ref="C3:G3"/>
    <mergeCell ref="H3:O3"/>
    <mergeCell ref="B77:P77"/>
    <mergeCell ref="D6:E6"/>
    <mergeCell ref="F6:F7"/>
    <mergeCell ref="C6:C7"/>
    <mergeCell ref="G6:G7"/>
    <mergeCell ref="H6:H7"/>
    <mergeCell ref="I6:I7"/>
    <mergeCell ref="J6:J7"/>
    <mergeCell ref="K6:K7"/>
    <mergeCell ref="P6:P7"/>
    <mergeCell ref="L6:L7"/>
    <mergeCell ref="M6:M7"/>
    <mergeCell ref="N6:N7"/>
    <mergeCell ref="O6:O7"/>
  </mergeCells>
  <printOptions/>
  <pageMargins left="0.43" right="0.45" top="0.84" bottom="0.43" header="0.35" footer="0.19"/>
  <pageSetup firstPageNumber="5" useFirstPageNumber="1" horizontalDpi="600" verticalDpi="600" orientation="portrait" paperSize="5" scale="85" r:id="rId1"/>
  <headerFooter alignWithMargins="0">
    <oddHeader>&amp;RCircular 1061</oddHeader>
    <oddFooter>&amp;L&amp;F, &amp;D&amp;CPrepared by Division of Education Finance&amp;RPage &amp;P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713"/>
  <sheetViews>
    <sheetView zoomScalePageLayoutView="0" workbookViewId="0" topLeftCell="A1">
      <selection activeCell="X1" sqref="X1"/>
    </sheetView>
  </sheetViews>
  <sheetFormatPr defaultColWidth="9.140625" defaultRowHeight="12.75"/>
  <cols>
    <col min="1" max="1" width="4.00390625" style="2" bestFit="1" customWidth="1"/>
    <col min="2" max="2" width="20.57421875" style="3" bestFit="1" customWidth="1"/>
    <col min="3" max="3" width="11.00390625" style="3" customWidth="1"/>
    <col min="4" max="4" width="10.7109375" style="3" hidden="1" customWidth="1"/>
    <col min="5" max="5" width="12.7109375" style="3" hidden="1" customWidth="1"/>
    <col min="6" max="6" width="8.8515625" style="4" customWidth="1"/>
    <col min="7" max="7" width="13.28125" style="3" hidden="1" customWidth="1"/>
    <col min="8" max="8" width="0.13671875" style="3" hidden="1" customWidth="1"/>
    <col min="9" max="9" width="9.140625" style="3" bestFit="1" customWidth="1"/>
    <col min="10" max="10" width="15.7109375" style="3" hidden="1" customWidth="1"/>
    <col min="11" max="11" width="13.57421875" style="3" hidden="1" customWidth="1"/>
    <col min="12" max="12" width="11.57421875" style="3" customWidth="1"/>
    <col min="13" max="13" width="14.00390625" style="3" hidden="1" customWidth="1"/>
    <col min="14" max="14" width="0.13671875" style="3" hidden="1" customWidth="1"/>
    <col min="15" max="15" width="8.8515625" style="3" bestFit="1" customWidth="1"/>
    <col min="16" max="16" width="23.421875" style="3" hidden="1" customWidth="1"/>
    <col min="17" max="17" width="24.8515625" style="5" hidden="1" customWidth="1"/>
    <col min="18" max="18" width="12.28125" style="3" hidden="1" customWidth="1"/>
    <col min="19" max="19" width="8.8515625" style="3" customWidth="1"/>
    <col min="20" max="20" width="9.140625" style="3" customWidth="1"/>
    <col min="21" max="21" width="11.140625" style="3" bestFit="1" customWidth="1"/>
    <col min="22" max="22" width="8.57421875" style="3" customWidth="1"/>
    <col min="23" max="23" width="14.421875" style="3" customWidth="1"/>
    <col min="24" max="24" width="10.7109375" style="3" customWidth="1"/>
    <col min="25" max="25" width="11.57421875" style="3" customWidth="1"/>
    <col min="26" max="26" width="11.00390625" style="3" bestFit="1" customWidth="1"/>
    <col min="27" max="27" width="15.28125" style="3" customWidth="1"/>
    <col min="28" max="28" width="9.421875" style="3" customWidth="1"/>
    <col min="29" max="29" width="16.8515625" style="3" customWidth="1"/>
    <col min="30" max="30" width="9.7109375" style="3" customWidth="1"/>
    <col min="31" max="31" width="16.8515625" style="3" customWidth="1"/>
    <col min="32" max="32" width="13.421875" style="3" customWidth="1"/>
    <col min="33" max="33" width="12.28125" style="3" customWidth="1"/>
    <col min="34" max="34" width="14.00390625" style="3" customWidth="1"/>
    <col min="35" max="35" width="13.421875" style="3" customWidth="1"/>
    <col min="36" max="36" width="13.140625" style="3" customWidth="1"/>
    <col min="37" max="37" width="8.8515625" style="3" customWidth="1"/>
    <col min="38" max="39" width="13.8515625" style="3" customWidth="1"/>
    <col min="40" max="40" width="15.421875" style="3" customWidth="1"/>
    <col min="41" max="41" width="10.421875" style="3" customWidth="1"/>
    <col min="42" max="42" width="14.7109375" style="3" customWidth="1"/>
    <col min="43" max="43" width="0.13671875" style="3" hidden="1" customWidth="1"/>
    <col min="44" max="44" width="10.421875" style="3" customWidth="1"/>
    <col min="45" max="45" width="8.7109375" style="3" customWidth="1"/>
    <col min="46" max="46" width="0.13671875" style="3" hidden="1" customWidth="1"/>
    <col min="47" max="47" width="11.7109375" style="3" bestFit="1" customWidth="1"/>
    <col min="48" max="48" width="11.7109375" style="3" customWidth="1"/>
    <col min="49" max="49" width="10.421875" style="3" customWidth="1"/>
    <col min="50" max="50" width="9.8515625" style="3" customWidth="1"/>
    <col min="51" max="51" width="16.57421875" style="3" customWidth="1"/>
    <col min="52" max="52" width="17.140625" style="3" customWidth="1"/>
    <col min="53" max="53" width="15.00390625" style="3" customWidth="1"/>
    <col min="54" max="54" width="12.421875" style="3" customWidth="1"/>
    <col min="55" max="55" width="12.57421875" style="3" customWidth="1"/>
    <col min="56" max="56" width="11.28125" style="3" customWidth="1"/>
    <col min="57" max="57" width="15.28125" style="3" customWidth="1"/>
    <col min="58" max="58" width="20.28125" style="3" customWidth="1"/>
    <col min="59" max="59" width="17.00390625" style="3" customWidth="1"/>
    <col min="60" max="60" width="19.140625" style="3" customWidth="1"/>
    <col min="61" max="61" width="14.00390625" style="3" customWidth="1"/>
    <col min="62" max="62" width="18.7109375" style="3" hidden="1" customWidth="1"/>
    <col min="63" max="63" width="7.7109375" style="3" hidden="1" customWidth="1"/>
    <col min="64" max="64" width="0.13671875" style="3" hidden="1" customWidth="1"/>
    <col min="165" max="16384" width="9.140625" style="3" customWidth="1"/>
  </cols>
  <sheetData>
    <row r="1" spans="1:64" ht="45.75" customHeight="1">
      <c r="A1" s="172"/>
      <c r="C1" s="388" t="s">
        <v>647</v>
      </c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35" t="s">
        <v>664</v>
      </c>
      <c r="Y1" s="351"/>
      <c r="Z1" s="351"/>
      <c r="AA1" s="351"/>
      <c r="AB1" s="351"/>
      <c r="AC1" s="351"/>
      <c r="AD1" s="351"/>
      <c r="AE1" s="351"/>
      <c r="AF1" s="335" t="s">
        <v>664</v>
      </c>
      <c r="AG1" s="351"/>
      <c r="AH1" s="351"/>
      <c r="AI1" s="351"/>
      <c r="AJ1" s="351"/>
      <c r="AK1" s="351"/>
      <c r="AL1" s="351"/>
      <c r="AM1" s="351"/>
      <c r="AN1" s="335" t="s">
        <v>664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87" t="s">
        <v>663</v>
      </c>
      <c r="AZ1" s="387"/>
      <c r="BA1" s="387"/>
      <c r="BB1" s="387"/>
      <c r="BC1" s="387"/>
      <c r="BD1" s="387"/>
      <c r="BE1" s="387"/>
      <c r="BF1" s="335" t="s">
        <v>664</v>
      </c>
      <c r="BG1" s="335"/>
      <c r="BH1" s="335"/>
      <c r="BI1" s="335"/>
      <c r="BJ1" s="335"/>
      <c r="BK1" s="335"/>
      <c r="BL1" s="335"/>
    </row>
    <row r="2" spans="3:58" ht="25.5" customHeight="1">
      <c r="C2" s="325" t="s">
        <v>646</v>
      </c>
      <c r="V2" s="1"/>
      <c r="X2" s="327"/>
      <c r="AE2" s="1"/>
      <c r="AF2" s="352"/>
      <c r="AG2" s="353"/>
      <c r="AH2" s="353"/>
      <c r="AI2" s="353"/>
      <c r="AJ2" s="353"/>
      <c r="AK2" s="353"/>
      <c r="AL2" s="353"/>
      <c r="AM2" s="354"/>
      <c r="AN2" s="352"/>
      <c r="AO2" s="353"/>
      <c r="AP2" s="353"/>
      <c r="AQ2" s="353"/>
      <c r="AR2" s="353"/>
      <c r="AS2" s="353"/>
      <c r="AT2" s="353"/>
      <c r="AU2" s="354"/>
      <c r="AV2" s="353"/>
      <c r="AW2" s="353"/>
      <c r="AX2" s="353"/>
      <c r="AY2" s="327"/>
      <c r="BF2" s="327"/>
    </row>
    <row r="3" spans="5:164" s="14" customFormat="1" ht="66.75" customHeight="1">
      <c r="E3" s="14" t="s">
        <v>0</v>
      </c>
      <c r="F3" s="53"/>
      <c r="L3" s="54"/>
      <c r="P3" s="56" t="s">
        <v>303</v>
      </c>
      <c r="Q3" s="56" t="s">
        <v>304</v>
      </c>
      <c r="R3" s="56" t="s">
        <v>305</v>
      </c>
      <c r="S3" s="56" t="s">
        <v>306</v>
      </c>
      <c r="T3" s="56" t="s">
        <v>307</v>
      </c>
      <c r="U3" s="56" t="s">
        <v>308</v>
      </c>
      <c r="W3" s="56" t="s">
        <v>3</v>
      </c>
      <c r="X3" s="56" t="s">
        <v>448</v>
      </c>
      <c r="Y3" s="56" t="s">
        <v>309</v>
      </c>
      <c r="Z3" s="56" t="s">
        <v>311</v>
      </c>
      <c r="AA3" s="56" t="s">
        <v>312</v>
      </c>
      <c r="AB3" s="56" t="s">
        <v>313</v>
      </c>
      <c r="AC3" s="56" t="s">
        <v>315</v>
      </c>
      <c r="AD3" s="56" t="s">
        <v>316</v>
      </c>
      <c r="AE3" s="56" t="s">
        <v>611</v>
      </c>
      <c r="AF3" s="56" t="s">
        <v>317</v>
      </c>
      <c r="AG3" s="56" t="s">
        <v>318</v>
      </c>
      <c r="AH3" s="56" t="s">
        <v>319</v>
      </c>
      <c r="AI3" s="56" t="s">
        <v>320</v>
      </c>
      <c r="AJ3" s="56" t="s">
        <v>612</v>
      </c>
      <c r="AK3" s="56" t="s">
        <v>321</v>
      </c>
      <c r="AL3" s="56" t="s">
        <v>450</v>
      </c>
      <c r="AM3" s="56" t="s">
        <v>322</v>
      </c>
      <c r="AN3" s="56" t="s">
        <v>323</v>
      </c>
      <c r="AO3" s="56" t="s">
        <v>324</v>
      </c>
      <c r="AP3" s="56"/>
      <c r="AQ3" s="56"/>
      <c r="AR3" s="56" t="s">
        <v>615</v>
      </c>
      <c r="AS3" s="56" t="s">
        <v>451</v>
      </c>
      <c r="AT3" s="56" t="s">
        <v>636</v>
      </c>
      <c r="AU3" s="56" t="s">
        <v>618</v>
      </c>
      <c r="AV3" s="56" t="s">
        <v>619</v>
      </c>
      <c r="AW3" s="56" t="s">
        <v>620</v>
      </c>
      <c r="AX3" s="56" t="s">
        <v>621</v>
      </c>
      <c r="AY3" s="56" t="s">
        <v>622</v>
      </c>
      <c r="AZ3" s="56" t="s">
        <v>623</v>
      </c>
      <c r="BA3" s="56" t="s">
        <v>327</v>
      </c>
      <c r="BB3" s="56" t="s">
        <v>625</v>
      </c>
      <c r="BC3" s="56" t="s">
        <v>626</v>
      </c>
      <c r="BD3" s="56" t="s">
        <v>627</v>
      </c>
      <c r="BE3" s="56" t="s">
        <v>628</v>
      </c>
      <c r="BF3" s="56" t="s">
        <v>631</v>
      </c>
      <c r="BG3" s="56" t="s">
        <v>632</v>
      </c>
      <c r="BH3" s="56" t="s">
        <v>634</v>
      </c>
      <c r="BI3" s="56" t="s">
        <v>635</v>
      </c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</row>
    <row r="4" spans="6:164" s="14" customFormat="1" ht="12.75" customHeight="1">
      <c r="F4" s="168">
        <v>0.17</v>
      </c>
      <c r="G4" s="57"/>
      <c r="H4" s="57" t="s">
        <v>1</v>
      </c>
      <c r="I4" s="178">
        <v>0.05</v>
      </c>
      <c r="J4" s="57"/>
      <c r="K4" s="57" t="s">
        <v>300</v>
      </c>
      <c r="L4" s="178">
        <v>1.5</v>
      </c>
      <c r="M4" s="57"/>
      <c r="N4" s="57" t="s">
        <v>2</v>
      </c>
      <c r="O4" s="168">
        <v>0.6</v>
      </c>
      <c r="Q4" s="55"/>
      <c r="Y4" s="14" t="s">
        <v>4</v>
      </c>
      <c r="Z4" s="14" t="s">
        <v>4</v>
      </c>
      <c r="AA4" s="59">
        <v>0.35</v>
      </c>
      <c r="AB4" s="14" t="s">
        <v>4</v>
      </c>
      <c r="AC4" s="14" t="s">
        <v>4</v>
      </c>
      <c r="AD4" s="14" t="s">
        <v>4</v>
      </c>
      <c r="AF4" s="14" t="s">
        <v>4</v>
      </c>
      <c r="AH4" s="61">
        <v>0.33</v>
      </c>
      <c r="AI4" s="14" t="s">
        <v>4</v>
      </c>
      <c r="AJ4" s="61">
        <v>0.4</v>
      </c>
      <c r="AK4" s="14" t="s">
        <v>4</v>
      </c>
      <c r="AL4" s="61">
        <v>0.4</v>
      </c>
      <c r="AO4" s="14" t="s">
        <v>4</v>
      </c>
      <c r="AV4" s="14" t="s">
        <v>4</v>
      </c>
      <c r="AY4" s="14" t="s">
        <v>4</v>
      </c>
      <c r="AZ4" s="14" t="s">
        <v>4</v>
      </c>
      <c r="BB4" s="14" t="s">
        <v>4</v>
      </c>
      <c r="BC4" s="14" t="s">
        <v>4</v>
      </c>
      <c r="BD4" s="14" t="s">
        <v>4</v>
      </c>
      <c r="BE4" s="14" t="s">
        <v>4</v>
      </c>
      <c r="BF4" s="14" t="s">
        <v>4</v>
      </c>
      <c r="BG4" s="14" t="s">
        <v>4</v>
      </c>
      <c r="BH4" s="14" t="s">
        <v>4</v>
      </c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</row>
    <row r="5" spans="1:164" s="2" customFormat="1" ht="78.75" customHeight="1">
      <c r="A5" s="11" t="s">
        <v>162</v>
      </c>
      <c r="B5" s="11" t="s">
        <v>163</v>
      </c>
      <c r="C5" s="12" t="s">
        <v>165</v>
      </c>
      <c r="D5" s="12" t="s">
        <v>74</v>
      </c>
      <c r="E5" s="12" t="s">
        <v>75</v>
      </c>
      <c r="F5" s="12" t="s">
        <v>167</v>
      </c>
      <c r="G5" s="12" t="s">
        <v>76</v>
      </c>
      <c r="H5" s="12" t="s">
        <v>77</v>
      </c>
      <c r="I5" s="12" t="s">
        <v>168</v>
      </c>
      <c r="J5" s="12" t="s">
        <v>78</v>
      </c>
      <c r="K5" s="12" t="s">
        <v>79</v>
      </c>
      <c r="L5" s="12" t="s">
        <v>645</v>
      </c>
      <c r="M5" s="12" t="s">
        <v>80</v>
      </c>
      <c r="N5" s="12" t="s">
        <v>81</v>
      </c>
      <c r="O5" s="12" t="s">
        <v>550</v>
      </c>
      <c r="P5" s="12" t="s">
        <v>82</v>
      </c>
      <c r="Q5" s="13" t="s">
        <v>83</v>
      </c>
      <c r="R5" s="12" t="s">
        <v>84</v>
      </c>
      <c r="S5" s="12" t="s">
        <v>169</v>
      </c>
      <c r="T5" s="12" t="s">
        <v>170</v>
      </c>
      <c r="U5" s="12" t="s">
        <v>171</v>
      </c>
      <c r="V5" s="12" t="s">
        <v>164</v>
      </c>
      <c r="W5" s="15" t="s">
        <v>197</v>
      </c>
      <c r="X5" s="12" t="s">
        <v>172</v>
      </c>
      <c r="Y5" s="12" t="s">
        <v>173</v>
      </c>
      <c r="Z5" s="12" t="s">
        <v>174</v>
      </c>
      <c r="AA5" s="12" t="s">
        <v>175</v>
      </c>
      <c r="AB5" s="12" t="s">
        <v>176</v>
      </c>
      <c r="AC5" s="15" t="s">
        <v>198</v>
      </c>
      <c r="AD5" s="12" t="s">
        <v>177</v>
      </c>
      <c r="AE5" s="12" t="s">
        <v>178</v>
      </c>
      <c r="AF5" s="12" t="s">
        <v>179</v>
      </c>
      <c r="AG5" s="12" t="s">
        <v>180</v>
      </c>
      <c r="AH5" s="12" t="s">
        <v>181</v>
      </c>
      <c r="AI5" s="12" t="s">
        <v>182</v>
      </c>
      <c r="AJ5" s="15" t="s">
        <v>183</v>
      </c>
      <c r="AK5" s="12" t="s">
        <v>184</v>
      </c>
      <c r="AL5" s="12" t="s">
        <v>185</v>
      </c>
      <c r="AM5" s="12" t="s">
        <v>186</v>
      </c>
      <c r="AN5" s="12" t="s">
        <v>114</v>
      </c>
      <c r="AO5" s="12" t="s">
        <v>115</v>
      </c>
      <c r="AP5" s="12" t="s">
        <v>447</v>
      </c>
      <c r="AQ5" s="12" t="s">
        <v>120</v>
      </c>
      <c r="AR5" s="12" t="s">
        <v>116</v>
      </c>
      <c r="AS5" s="12" t="s">
        <v>187</v>
      </c>
      <c r="AT5" s="12" t="s">
        <v>637</v>
      </c>
      <c r="AU5" s="12" t="s">
        <v>188</v>
      </c>
      <c r="AV5" s="12" t="s">
        <v>189</v>
      </c>
      <c r="AW5" s="12" t="s">
        <v>648</v>
      </c>
      <c r="AX5" s="12" t="s">
        <v>190</v>
      </c>
      <c r="AY5" s="12" t="s">
        <v>191</v>
      </c>
      <c r="AZ5" s="12" t="s">
        <v>192</v>
      </c>
      <c r="BA5" s="12" t="s">
        <v>117</v>
      </c>
      <c r="BB5" s="12" t="s">
        <v>193</v>
      </c>
      <c r="BC5" s="12" t="s">
        <v>187</v>
      </c>
      <c r="BD5" s="12" t="s">
        <v>194</v>
      </c>
      <c r="BE5" s="12" t="s">
        <v>118</v>
      </c>
      <c r="BF5" s="12" t="s">
        <v>195</v>
      </c>
      <c r="BG5" s="12" t="s">
        <v>194</v>
      </c>
      <c r="BH5" s="12" t="s">
        <v>119</v>
      </c>
      <c r="BI5" s="12" t="s">
        <v>196</v>
      </c>
      <c r="BJ5" s="12" t="s">
        <v>121</v>
      </c>
      <c r="BK5" s="11"/>
      <c r="BL5" s="11" t="s">
        <v>5</v>
      </c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</row>
    <row r="6" spans="1:164" s="6" customFormat="1" ht="12.75">
      <c r="A6" s="62"/>
      <c r="B6" s="62"/>
      <c r="C6" s="62">
        <v>-1</v>
      </c>
      <c r="D6" s="63" t="s">
        <v>377</v>
      </c>
      <c r="E6" s="63" t="s">
        <v>378</v>
      </c>
      <c r="F6" s="62">
        <v>-2</v>
      </c>
      <c r="G6" s="63" t="s">
        <v>294</v>
      </c>
      <c r="H6" s="63" t="s">
        <v>295</v>
      </c>
      <c r="I6" s="62">
        <v>-3</v>
      </c>
      <c r="J6" s="63" t="s">
        <v>296</v>
      </c>
      <c r="K6" s="63" t="s">
        <v>297</v>
      </c>
      <c r="L6" s="63" t="s">
        <v>209</v>
      </c>
      <c r="M6" s="63" t="s">
        <v>298</v>
      </c>
      <c r="N6" s="63" t="s">
        <v>299</v>
      </c>
      <c r="O6" s="63" t="s">
        <v>210</v>
      </c>
      <c r="P6" s="63" t="s">
        <v>301</v>
      </c>
      <c r="Q6" s="63" t="s">
        <v>302</v>
      </c>
      <c r="R6" s="63" t="s">
        <v>609</v>
      </c>
      <c r="S6" s="63" t="s">
        <v>211</v>
      </c>
      <c r="T6" s="63" t="s">
        <v>212</v>
      </c>
      <c r="U6" s="63" t="s">
        <v>213</v>
      </c>
      <c r="V6" s="63" t="s">
        <v>214</v>
      </c>
      <c r="W6" s="63" t="s">
        <v>215</v>
      </c>
      <c r="X6" s="63" t="s">
        <v>216</v>
      </c>
      <c r="Y6" s="63" t="s">
        <v>217</v>
      </c>
      <c r="Z6" s="63" t="s">
        <v>310</v>
      </c>
      <c r="AA6" s="62">
        <v>-14</v>
      </c>
      <c r="AB6" s="62">
        <v>-15</v>
      </c>
      <c r="AC6" s="64" t="s">
        <v>314</v>
      </c>
      <c r="AD6" s="62">
        <v>-17</v>
      </c>
      <c r="AE6" s="62">
        <v>-18</v>
      </c>
      <c r="AF6" s="62">
        <v>-19</v>
      </c>
      <c r="AG6" s="62">
        <v>-20</v>
      </c>
      <c r="AH6" s="62">
        <v>-21</v>
      </c>
      <c r="AI6" s="62">
        <v>-22</v>
      </c>
      <c r="AJ6" s="65">
        <v>-23</v>
      </c>
      <c r="AK6" s="62">
        <v>-24</v>
      </c>
      <c r="AL6" s="62">
        <v>-25</v>
      </c>
      <c r="AM6" s="62">
        <v>-26</v>
      </c>
      <c r="AN6" s="62">
        <v>-27</v>
      </c>
      <c r="AO6" s="62" t="s">
        <v>104</v>
      </c>
      <c r="AP6" s="62">
        <v>-28</v>
      </c>
      <c r="AQ6" s="62" t="s">
        <v>614</v>
      </c>
      <c r="AR6" s="62" t="s">
        <v>325</v>
      </c>
      <c r="AS6" s="62">
        <v>-29</v>
      </c>
      <c r="AT6" s="62"/>
      <c r="AU6" s="62">
        <v>-30</v>
      </c>
      <c r="AV6" s="62">
        <v>-31</v>
      </c>
      <c r="AW6" s="63" t="s">
        <v>616</v>
      </c>
      <c r="AX6" s="62" t="s">
        <v>617</v>
      </c>
      <c r="AY6" s="62">
        <v>-32</v>
      </c>
      <c r="AZ6" s="62">
        <v>-33</v>
      </c>
      <c r="BA6" s="62">
        <v>-34</v>
      </c>
      <c r="BB6" s="62" t="s">
        <v>624</v>
      </c>
      <c r="BC6" s="62">
        <v>-35</v>
      </c>
      <c r="BD6" s="62">
        <v>-36</v>
      </c>
      <c r="BE6" s="62">
        <v>-37</v>
      </c>
      <c r="BF6" s="63" t="s">
        <v>629</v>
      </c>
      <c r="BG6" s="63" t="s">
        <v>630</v>
      </c>
      <c r="BH6" s="63" t="s">
        <v>633</v>
      </c>
      <c r="BI6" s="63" t="s">
        <v>326</v>
      </c>
      <c r="BJ6" s="63" t="s">
        <v>449</v>
      </c>
      <c r="BK6" s="62"/>
      <c r="BL6" s="6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</row>
    <row r="7" spans="1:64" ht="12.75">
      <c r="A7" s="66"/>
      <c r="B7" s="68"/>
      <c r="C7" s="68"/>
      <c r="D7" s="66" t="s">
        <v>166</v>
      </c>
      <c r="E7" s="66" t="s">
        <v>166</v>
      </c>
      <c r="F7" s="66"/>
      <c r="G7" s="66" t="s">
        <v>166</v>
      </c>
      <c r="H7" s="66" t="s">
        <v>166</v>
      </c>
      <c r="I7" s="68"/>
      <c r="J7" s="69" t="s">
        <v>166</v>
      </c>
      <c r="K7" s="69" t="s">
        <v>166</v>
      </c>
      <c r="L7" s="304"/>
      <c r="M7" s="69" t="s">
        <v>166</v>
      </c>
      <c r="N7" s="69" t="s">
        <v>166</v>
      </c>
      <c r="O7" s="68"/>
      <c r="P7" s="69" t="s">
        <v>166</v>
      </c>
      <c r="Q7" s="69" t="s">
        <v>166</v>
      </c>
      <c r="R7" s="69" t="s">
        <v>166</v>
      </c>
      <c r="S7" s="68"/>
      <c r="T7" s="68"/>
      <c r="U7" s="68"/>
      <c r="V7" s="68"/>
      <c r="W7" s="68"/>
      <c r="X7" s="68"/>
      <c r="Y7" s="68"/>
      <c r="Z7" s="68"/>
      <c r="AA7" s="68"/>
      <c r="AB7" s="68"/>
      <c r="AC7" s="70"/>
      <c r="AD7" s="68"/>
      <c r="AE7" s="68"/>
      <c r="AF7" s="68"/>
      <c r="AG7" s="68"/>
      <c r="AH7" s="68"/>
      <c r="AI7" s="68"/>
      <c r="AJ7" s="70"/>
      <c r="AK7" s="68"/>
      <c r="AL7" s="68"/>
      <c r="AM7" s="68"/>
      <c r="AN7" s="68"/>
      <c r="AO7" s="68"/>
      <c r="AP7" s="68"/>
      <c r="AQ7" s="69" t="s">
        <v>613</v>
      </c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L7" s="72"/>
    </row>
    <row r="8" spans="1:164" s="7" customFormat="1" ht="12.75">
      <c r="A8" s="76">
        <v>1</v>
      </c>
      <c r="B8" s="77" t="s">
        <v>7</v>
      </c>
      <c r="C8" s="77">
        <v>10021</v>
      </c>
      <c r="D8" s="77">
        <v>6462</v>
      </c>
      <c r="E8" s="78">
        <f>ROUND(V8*F8,0)</f>
        <v>3317591</v>
      </c>
      <c r="F8" s="79">
        <f>ROUND(D8*F$4,2)</f>
        <v>1098.54</v>
      </c>
      <c r="G8" s="77">
        <v>3253</v>
      </c>
      <c r="H8" s="78">
        <f>ROUND(I8*V8,0)</f>
        <v>492260</v>
      </c>
      <c r="I8" s="77">
        <f>ROUND(G8*I$4,0)</f>
        <v>163</v>
      </c>
      <c r="J8" s="77">
        <v>1587</v>
      </c>
      <c r="K8" s="78">
        <f>ROUND(L8*V8,0)</f>
        <v>7190620</v>
      </c>
      <c r="L8" s="77">
        <f>ROUND(J8*L$4,0)</f>
        <v>2381</v>
      </c>
      <c r="M8" s="77">
        <v>94</v>
      </c>
      <c r="N8" s="78">
        <f>ROUND(O8*V8,0)</f>
        <v>169120</v>
      </c>
      <c r="O8" s="77">
        <f>ROUND(M8*O$4,0)</f>
        <v>56</v>
      </c>
      <c r="P8" s="77">
        <f>IF(C8&lt;7500,7500-C8,0)</f>
        <v>0</v>
      </c>
      <c r="Q8" s="74">
        <f>ROUND(P8/37500,5)</f>
        <v>0</v>
      </c>
      <c r="R8" s="78">
        <f>ROUND(S8*V8,0)</f>
        <v>0</v>
      </c>
      <c r="S8" s="77">
        <f>ROUND(C8*Q8,0)</f>
        <v>0</v>
      </c>
      <c r="T8" s="77">
        <f>SUM(F8+I8+L8+O8+S8,0)</f>
        <v>3698.54</v>
      </c>
      <c r="U8" s="77">
        <f>SUM(C8+T8,0)</f>
        <v>13719.54</v>
      </c>
      <c r="V8" s="78">
        <f>V$75</f>
        <v>3020</v>
      </c>
      <c r="W8" s="78">
        <f>ROUND(U8*V8,0)</f>
        <v>41433011</v>
      </c>
      <c r="X8" s="81">
        <f>'Tables 6-8 Local Wealth'!M8</f>
        <v>0.59311682</v>
      </c>
      <c r="Y8" s="81">
        <f>ROUND(U8/U$75,8)</f>
        <v>0.01381454</v>
      </c>
      <c r="Z8" s="81">
        <f>ROUND(X8*Y8,8)</f>
        <v>0.00819364</v>
      </c>
      <c r="AA8" s="78">
        <f aca="true" t="shared" si="0" ref="AA8:AA39">IF(W$75*Z8*AA$4&lt;W8,W$75*Z8*AA$4,W8)</f>
        <v>8601117.146373387</v>
      </c>
      <c r="AB8" s="82">
        <f>ROUND(AA8/W8,4)</f>
        <v>0.2076</v>
      </c>
      <c r="AC8" s="83">
        <f>IF(W8-AA8&gt;0,W8-AA8,0)</f>
        <v>32831893.853626613</v>
      </c>
      <c r="AD8" s="82">
        <f>ROUND(AC8/W8,4)</f>
        <v>0.7924</v>
      </c>
      <c r="AE8" s="78">
        <f>'Tables 6-8 Local Wealth'!BI8</f>
        <v>8946076</v>
      </c>
      <c r="AF8" s="78">
        <f>IF(AE8-AA8&gt;0,AE8-AA8,0)</f>
        <v>344958.8536266126</v>
      </c>
      <c r="AG8" s="86">
        <f>IF(AE8-AA8&lt;0,AE8-AA8,0)</f>
        <v>0</v>
      </c>
      <c r="AH8" s="78">
        <f>ROUND(W8*AH$4,0)</f>
        <v>13672894</v>
      </c>
      <c r="AI8" s="78">
        <f>IF(AF8&lt;AH8,AF8,AH8)</f>
        <v>344958.8536266126</v>
      </c>
      <c r="AJ8" s="83">
        <f>IF((1-((1-AJ$4)*X8))*AI8&gt;0,(1-((1-AJ$4)*X8))*AI8,0)</f>
        <v>222198.31465029545</v>
      </c>
      <c r="AK8" s="82">
        <f>IF(AI8=0,0,AJ8/AI8)</f>
        <v>0.644129908</v>
      </c>
      <c r="AL8" s="78">
        <f>IF(((1-((1-AL$4)*X8))*AH8)-AJ8&gt;0,((1-((1-AL$4)*X8))*AH8)-AJ8,0)</f>
        <v>8584921.639663458</v>
      </c>
      <c r="AM8" s="78">
        <f>AI8+AJ8</f>
        <v>567157.168276908</v>
      </c>
      <c r="AN8" s="78">
        <f>AC8+AJ8</f>
        <v>33054092.16827691</v>
      </c>
      <c r="AO8" s="78">
        <f>ROUND(AN8/C8,5)</f>
        <v>3298.4824</v>
      </c>
      <c r="AP8" s="78">
        <v>32038998</v>
      </c>
      <c r="AQ8" s="73">
        <v>10309</v>
      </c>
      <c r="AR8" s="163">
        <f>ROUND(AP8/AQ8,2)</f>
        <v>3107.87</v>
      </c>
      <c r="AS8" s="82">
        <f aca="true" t="shared" si="1" ref="AS8:AS39">IF(AO8&gt;0,AR8/AO8,0)</f>
        <v>0.9422120912332289</v>
      </c>
      <c r="AT8" s="309">
        <f>IF(AN8&gt;AP8,AN8-AP8,0)</f>
        <v>1015094.1682769097</v>
      </c>
      <c r="AU8" s="78">
        <f aca="true" t="shared" si="2" ref="AU8:AU39">ROUND(BA8-AP8,4)</f>
        <v>1015094.1304</v>
      </c>
      <c r="AV8" s="78">
        <f>IF(AY8&gt;AZ8,AY8-AZ8,0)</f>
        <v>0</v>
      </c>
      <c r="AW8" s="77">
        <f aca="true" t="shared" si="3" ref="AW8:AW39">IF(AV8&gt;0,C8,0)</f>
        <v>0</v>
      </c>
      <c r="AX8" s="78">
        <f>IF(AV8&lt;1,0,AV8/AW8)</f>
        <v>0</v>
      </c>
      <c r="AY8" s="78">
        <f aca="true" t="shared" si="4" ref="AY8:AY39">IF((AR8*C8)&gt;AP8,AP8,AR8*C8)</f>
        <v>31143965.27</v>
      </c>
      <c r="AZ8" s="78">
        <f>ROUND(AO8*C8,4)</f>
        <v>33054092.1304</v>
      </c>
      <c r="BA8" s="78">
        <f>IF(AY8&gt;AZ8,AY8,AZ8)</f>
        <v>33054092.1304</v>
      </c>
      <c r="BB8" s="78">
        <f aca="true" t="shared" si="5" ref="BB8:BB39">ROUND(BA8/C8,2)</f>
        <v>3298.48</v>
      </c>
      <c r="BC8" s="82">
        <f aca="true" t="shared" si="6" ref="BC8:BC39">IF(AO8&gt;0,BB8/AO8,0)</f>
        <v>0.9999992723926616</v>
      </c>
      <c r="BD8" s="82">
        <f>ROUND(BA8/BH8,2)</f>
        <v>0.79</v>
      </c>
      <c r="BE8" s="78">
        <f aca="true" t="shared" si="7" ref="BE8:BE39">ROUND(AA8+AI8-AV8,2)</f>
        <v>8946076</v>
      </c>
      <c r="BF8" s="78">
        <f aca="true" t="shared" si="8" ref="BF8:BF39">ROUND(BE8/C8,2)</f>
        <v>892.73</v>
      </c>
      <c r="BG8" s="82">
        <f>ROUND(BE8/BH8,4)</f>
        <v>0.213</v>
      </c>
      <c r="BH8" s="78">
        <f>ROUND(BA8+BE8,2)</f>
        <v>42000168.13</v>
      </c>
      <c r="BI8" s="78">
        <f aca="true" t="shared" si="9" ref="BI8:BI39">ROUND(BH8/C8,2)</f>
        <v>4191.22</v>
      </c>
      <c r="BJ8" s="77">
        <v>10571</v>
      </c>
      <c r="BK8" s="7">
        <v>1</v>
      </c>
      <c r="BL8" s="77" t="s">
        <v>7</v>
      </c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</row>
    <row r="9" spans="1:164" s="7" customFormat="1" ht="12.75">
      <c r="A9" s="76">
        <v>2</v>
      </c>
      <c r="B9" s="77" t="s">
        <v>8</v>
      </c>
      <c r="C9" s="77">
        <v>4243</v>
      </c>
      <c r="D9" s="77">
        <v>2581</v>
      </c>
      <c r="E9" s="78">
        <f aca="true" t="shared" si="10" ref="E9:E72">ROUND(V9*F9,0)</f>
        <v>1325085</v>
      </c>
      <c r="F9" s="79">
        <f aca="true" t="shared" si="11" ref="F9:F72">ROUND(D9*F$4,2)</f>
        <v>438.77</v>
      </c>
      <c r="G9" s="77">
        <v>1508</v>
      </c>
      <c r="H9" s="78">
        <f aca="true" t="shared" si="12" ref="H9:H72">ROUND(I9*V9,0)</f>
        <v>226500</v>
      </c>
      <c r="I9" s="77">
        <f aca="true" t="shared" si="13" ref="I9:I72">ROUND(G9*I$4,0)</f>
        <v>75</v>
      </c>
      <c r="J9" s="77">
        <v>443</v>
      </c>
      <c r="K9" s="78">
        <f aca="true" t="shared" si="14" ref="K9:K72">ROUND(L9*V9,0)</f>
        <v>2008300</v>
      </c>
      <c r="L9" s="77">
        <f aca="true" t="shared" si="15" ref="L9:L72">ROUND(J9*L$4,0)</f>
        <v>665</v>
      </c>
      <c r="M9" s="77">
        <v>124</v>
      </c>
      <c r="N9" s="78">
        <f aca="true" t="shared" si="16" ref="N9:N72">ROUND(O9*V9,0)</f>
        <v>223480</v>
      </c>
      <c r="O9" s="77">
        <f aca="true" t="shared" si="17" ref="O9:O72">ROUND(M9*O$4,0)</f>
        <v>74</v>
      </c>
      <c r="P9" s="77">
        <f aca="true" t="shared" si="18" ref="P9:P72">IF(C9&lt;7500,7500-C9,0)</f>
        <v>3257</v>
      </c>
      <c r="Q9" s="74">
        <f aca="true" t="shared" si="19" ref="Q9:Q72">ROUND(P9/37500,5)</f>
        <v>0.08685</v>
      </c>
      <c r="R9" s="78">
        <f aca="true" t="shared" si="20" ref="R9:R72">ROUND(S9*V9,0)</f>
        <v>1114380</v>
      </c>
      <c r="S9" s="77">
        <f aca="true" t="shared" si="21" ref="S9:S72">ROUND(C9*Q9,0)</f>
        <v>369</v>
      </c>
      <c r="T9" s="77">
        <f aca="true" t="shared" si="22" ref="T9:T72">SUM(F9+I9+L9+O9+S9,0)</f>
        <v>1621.77</v>
      </c>
      <c r="U9" s="77">
        <f aca="true" t="shared" si="23" ref="U9:U72">SUM(C9+T9,0)</f>
        <v>5864.77</v>
      </c>
      <c r="V9" s="78">
        <f aca="true" t="shared" si="24" ref="V9:V72">V$75</f>
        <v>3020</v>
      </c>
      <c r="W9" s="78">
        <f aca="true" t="shared" si="25" ref="W9:W72">ROUND(U9*V9,0)</f>
        <v>17711605</v>
      </c>
      <c r="X9" s="81">
        <f>'Tables 6-8 Local Wealth'!M9</f>
        <v>0.56631017</v>
      </c>
      <c r="Y9" s="81">
        <f aca="true" t="shared" si="26" ref="Y9:Y72">ROUND(U9/U$75,8)</f>
        <v>0.00590538</v>
      </c>
      <c r="Z9" s="81">
        <f aca="true" t="shared" si="27" ref="Z9:Z72">ROUND(X9*Y9,8)</f>
        <v>0.00334428</v>
      </c>
      <c r="AA9" s="78">
        <f t="shared" si="0"/>
        <v>3510594.0766586754</v>
      </c>
      <c r="AB9" s="82">
        <f aca="true" t="shared" si="28" ref="AB9:AB72">ROUND(AA9/W9,4)</f>
        <v>0.1982</v>
      </c>
      <c r="AC9" s="83">
        <f aca="true" t="shared" si="29" ref="AC9:AC72">IF(W9-AA9&gt;0,W9-AA9,0)</f>
        <v>14201010.923341325</v>
      </c>
      <c r="AD9" s="82">
        <f aca="true" t="shared" si="30" ref="AD9:AD72">ROUND(AC9/W9,4)</f>
        <v>0.8018</v>
      </c>
      <c r="AE9" s="78">
        <f>'Tables 6-8 Local Wealth'!BI9</f>
        <v>6201825</v>
      </c>
      <c r="AF9" s="78">
        <f aca="true" t="shared" si="31" ref="AF9:AF72">IF(AE9-AA9&gt;0,AE9-AA9,0)</f>
        <v>2691230.9233413246</v>
      </c>
      <c r="AG9" s="86">
        <f aca="true" t="shared" si="32" ref="AG9:AG72">IF(AE9-AA9&lt;0,AE9-AA9,0)</f>
        <v>0</v>
      </c>
      <c r="AH9" s="78">
        <f aca="true" t="shared" si="33" ref="AH9:AH72">ROUND(W9*AH$4,0)</f>
        <v>5844830</v>
      </c>
      <c r="AI9" s="78">
        <f aca="true" t="shared" si="34" ref="AI9:AI72">IF(AF9&lt;AH9,AF9,AH9)</f>
        <v>2691230.9233413246</v>
      </c>
      <c r="AJ9" s="83">
        <f aca="true" t="shared" si="35" ref="AJ9:AJ72">IF((1-((1-AJ$4)*X9))*AI9&gt;0,(1-((1-AJ$4)*X9))*AI9,0)</f>
        <v>1776788.0583173153</v>
      </c>
      <c r="AK9" s="82">
        <f aca="true" t="shared" si="36" ref="AK9:AK72">IF(AI9=0,0,AJ9/AI9)</f>
        <v>0.6602138980000001</v>
      </c>
      <c r="AL9" s="78">
        <f aca="true" t="shared" si="37" ref="AL9:AL72">IF(((1-((1-AL$4)*X9))*AH9)-AJ9&gt;0,((1-((1-AL$4)*X9))*AH9)-AJ9,0)</f>
        <v>2082049.939130025</v>
      </c>
      <c r="AM9" s="78">
        <f aca="true" t="shared" si="38" ref="AM9:AM72">AI9+AJ9</f>
        <v>4468018.981658639</v>
      </c>
      <c r="AN9" s="78">
        <f aca="true" t="shared" si="39" ref="AN9:AN72">AC9+AJ9</f>
        <v>15977798.98165864</v>
      </c>
      <c r="AO9" s="78">
        <f aca="true" t="shared" si="40" ref="AO9:AO72">ROUND(AN9/C9,5)</f>
        <v>3765.68442</v>
      </c>
      <c r="AP9" s="78">
        <v>15012007</v>
      </c>
      <c r="AQ9" s="73">
        <v>4262</v>
      </c>
      <c r="AR9" s="163">
        <f aca="true" t="shared" si="41" ref="AR9:AR72">ROUND(AP9/AQ9,2)</f>
        <v>3522.29</v>
      </c>
      <c r="AS9" s="82">
        <f t="shared" si="1"/>
        <v>0.9353651573383837</v>
      </c>
      <c r="AT9" s="310">
        <f aca="true" t="shared" si="42" ref="AT9:AT72">IF(AN9&gt;AP9,AN9-AP9,0)</f>
        <v>965791.9816586394</v>
      </c>
      <c r="AU9" s="78">
        <f t="shared" si="2"/>
        <v>965791.9941</v>
      </c>
      <c r="AV9" s="78">
        <f aca="true" t="shared" si="43" ref="AV9:AV72">IF(AY9&gt;AZ9,AY9-AZ9,0)</f>
        <v>0</v>
      </c>
      <c r="AW9" s="77">
        <f t="shared" si="3"/>
        <v>0</v>
      </c>
      <c r="AX9" s="78">
        <f aca="true" t="shared" si="44" ref="AX9:AX72">IF(AV9&lt;1,0,AV9/AW9)</f>
        <v>0</v>
      </c>
      <c r="AY9" s="78">
        <f t="shared" si="4"/>
        <v>14945076.47</v>
      </c>
      <c r="AZ9" s="78">
        <f aca="true" t="shared" si="45" ref="AZ9:AZ72">ROUND(AO9*C9,4)</f>
        <v>15977798.9941</v>
      </c>
      <c r="BA9" s="78">
        <f aca="true" t="shared" si="46" ref="BA9:BA72">IF(AY9&gt;AZ9,AY9,AZ9)</f>
        <v>15977798.9941</v>
      </c>
      <c r="BB9" s="78">
        <f t="shared" si="5"/>
        <v>3765.68</v>
      </c>
      <c r="BC9" s="82">
        <f t="shared" si="6"/>
        <v>0.9999988262425877</v>
      </c>
      <c r="BD9" s="82">
        <f aca="true" t="shared" si="47" ref="BD9:BD72">ROUND(BA9/BH9,2)</f>
        <v>0.72</v>
      </c>
      <c r="BE9" s="78">
        <f t="shared" si="7"/>
        <v>6201825</v>
      </c>
      <c r="BF9" s="78">
        <f t="shared" si="8"/>
        <v>1461.66</v>
      </c>
      <c r="BG9" s="82">
        <f aca="true" t="shared" si="48" ref="BG9:BG72">ROUND(BE9/BH9,4)</f>
        <v>0.2796</v>
      </c>
      <c r="BH9" s="78">
        <f aca="true" t="shared" si="49" ref="BH9:BH72">ROUND(BA9+BE9,2)</f>
        <v>22179623.99</v>
      </c>
      <c r="BI9" s="78">
        <f t="shared" si="9"/>
        <v>5227.34</v>
      </c>
      <c r="BJ9" s="77">
        <v>4342</v>
      </c>
      <c r="BK9" s="7">
        <v>2</v>
      </c>
      <c r="BL9" s="77" t="s">
        <v>8</v>
      </c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</row>
    <row r="10" spans="1:164" s="7" customFormat="1" ht="12.75">
      <c r="A10" s="76">
        <v>3</v>
      </c>
      <c r="B10" s="77" t="s">
        <v>9</v>
      </c>
      <c r="C10" s="77">
        <v>14676</v>
      </c>
      <c r="D10" s="77">
        <v>5504</v>
      </c>
      <c r="E10" s="78">
        <f t="shared" si="10"/>
        <v>2825754</v>
      </c>
      <c r="F10" s="79">
        <f t="shared" si="11"/>
        <v>935.68</v>
      </c>
      <c r="G10" s="77">
        <v>2832</v>
      </c>
      <c r="H10" s="78">
        <f t="shared" si="12"/>
        <v>428840</v>
      </c>
      <c r="I10" s="77">
        <f t="shared" si="13"/>
        <v>142</v>
      </c>
      <c r="J10" s="77">
        <v>2163</v>
      </c>
      <c r="K10" s="78">
        <f t="shared" si="14"/>
        <v>9799900</v>
      </c>
      <c r="L10" s="77">
        <f t="shared" si="15"/>
        <v>3245</v>
      </c>
      <c r="M10" s="77">
        <v>361</v>
      </c>
      <c r="N10" s="78">
        <f t="shared" si="16"/>
        <v>655340</v>
      </c>
      <c r="O10" s="77">
        <f t="shared" si="17"/>
        <v>217</v>
      </c>
      <c r="P10" s="77">
        <f t="shared" si="18"/>
        <v>0</v>
      </c>
      <c r="Q10" s="74">
        <f t="shared" si="19"/>
        <v>0</v>
      </c>
      <c r="R10" s="78">
        <f t="shared" si="20"/>
        <v>0</v>
      </c>
      <c r="S10" s="77">
        <f t="shared" si="21"/>
        <v>0</v>
      </c>
      <c r="T10" s="77">
        <f t="shared" si="22"/>
        <v>4539.68</v>
      </c>
      <c r="U10" s="77">
        <f t="shared" si="23"/>
        <v>19215.68</v>
      </c>
      <c r="V10" s="78">
        <f t="shared" si="24"/>
        <v>3020</v>
      </c>
      <c r="W10" s="78">
        <f t="shared" si="25"/>
        <v>58031354</v>
      </c>
      <c r="X10" s="81">
        <f>'Tables 6-8 Local Wealth'!M10</f>
        <v>1.42468036</v>
      </c>
      <c r="Y10" s="81">
        <f t="shared" si="26"/>
        <v>0.01934874</v>
      </c>
      <c r="Z10" s="81">
        <f t="shared" si="27"/>
        <v>0.02756577</v>
      </c>
      <c r="AA10" s="78">
        <f t="shared" si="0"/>
        <v>28936640.73598366</v>
      </c>
      <c r="AB10" s="82">
        <f t="shared" si="28"/>
        <v>0.4986</v>
      </c>
      <c r="AC10" s="83">
        <f t="shared" si="29"/>
        <v>29094713.26401634</v>
      </c>
      <c r="AD10" s="82">
        <f t="shared" si="30"/>
        <v>0.5014</v>
      </c>
      <c r="AE10" s="78">
        <f>'Tables 6-8 Local Wealth'!BI10</f>
        <v>51791580</v>
      </c>
      <c r="AF10" s="78">
        <f t="shared" si="31"/>
        <v>22854939.26401634</v>
      </c>
      <c r="AG10" s="86">
        <f t="shared" si="32"/>
        <v>0</v>
      </c>
      <c r="AH10" s="78">
        <f t="shared" si="33"/>
        <v>19150347</v>
      </c>
      <c r="AI10" s="78">
        <f t="shared" si="34"/>
        <v>19150347</v>
      </c>
      <c r="AJ10" s="83">
        <f t="shared" si="35"/>
        <v>2780473.045149048</v>
      </c>
      <c r="AK10" s="82">
        <f t="shared" si="36"/>
        <v>0.145191784</v>
      </c>
      <c r="AL10" s="78">
        <f t="shared" si="37"/>
        <v>0</v>
      </c>
      <c r="AM10" s="78">
        <f t="shared" si="38"/>
        <v>21930820.045149047</v>
      </c>
      <c r="AN10" s="78">
        <f t="shared" si="39"/>
        <v>31875186.30916539</v>
      </c>
      <c r="AO10" s="78">
        <f t="shared" si="40"/>
        <v>2171.92602</v>
      </c>
      <c r="AP10" s="78">
        <v>36863857</v>
      </c>
      <c r="AQ10" s="73">
        <v>14530</v>
      </c>
      <c r="AR10" s="163">
        <f t="shared" si="41"/>
        <v>2537.09</v>
      </c>
      <c r="AS10" s="82">
        <f t="shared" si="1"/>
        <v>1.1681291059812435</v>
      </c>
      <c r="AT10" s="310">
        <f t="shared" si="42"/>
        <v>0</v>
      </c>
      <c r="AU10" s="78">
        <f t="shared" si="2"/>
        <v>0</v>
      </c>
      <c r="AV10" s="78">
        <f t="shared" si="43"/>
        <v>4988670.730500001</v>
      </c>
      <c r="AW10" s="77">
        <f t="shared" si="3"/>
        <v>14676</v>
      </c>
      <c r="AX10" s="78">
        <f t="shared" si="44"/>
        <v>339.92032778004915</v>
      </c>
      <c r="AY10" s="78">
        <f t="shared" si="4"/>
        <v>36863857</v>
      </c>
      <c r="AZ10" s="78">
        <f t="shared" si="45"/>
        <v>31875186.2695</v>
      </c>
      <c r="BA10" s="78">
        <f t="shared" si="46"/>
        <v>36863857</v>
      </c>
      <c r="BB10" s="78">
        <f t="shared" si="5"/>
        <v>2511.85</v>
      </c>
      <c r="BC10" s="82">
        <f t="shared" si="6"/>
        <v>1.1565080840092334</v>
      </c>
      <c r="BD10" s="82">
        <f t="shared" si="47"/>
        <v>0.46</v>
      </c>
      <c r="BE10" s="78">
        <f t="shared" si="7"/>
        <v>43098317.01</v>
      </c>
      <c r="BF10" s="78">
        <f t="shared" si="8"/>
        <v>2936.65</v>
      </c>
      <c r="BG10" s="82">
        <f t="shared" si="48"/>
        <v>0.539</v>
      </c>
      <c r="BH10" s="78">
        <f t="shared" si="49"/>
        <v>79962174.01</v>
      </c>
      <c r="BI10" s="78">
        <f t="shared" si="9"/>
        <v>5448.5</v>
      </c>
      <c r="BJ10" s="77">
        <v>14521</v>
      </c>
      <c r="BK10" s="7">
        <v>3</v>
      </c>
      <c r="BL10" s="77" t="s">
        <v>9</v>
      </c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</row>
    <row r="11" spans="1:164" s="7" customFormat="1" ht="12.75">
      <c r="A11" s="76">
        <v>4</v>
      </c>
      <c r="B11" s="77" t="s">
        <v>10</v>
      </c>
      <c r="C11" s="77">
        <v>4554</v>
      </c>
      <c r="D11" s="77">
        <v>2939</v>
      </c>
      <c r="E11" s="78">
        <f t="shared" si="10"/>
        <v>1508883</v>
      </c>
      <c r="F11" s="79">
        <f t="shared" si="11"/>
        <v>499.63</v>
      </c>
      <c r="G11" s="77">
        <v>1134</v>
      </c>
      <c r="H11" s="78">
        <f t="shared" si="12"/>
        <v>172140</v>
      </c>
      <c r="I11" s="77">
        <f t="shared" si="13"/>
        <v>57</v>
      </c>
      <c r="J11" s="77">
        <v>631</v>
      </c>
      <c r="K11" s="78">
        <f t="shared" si="14"/>
        <v>2859940</v>
      </c>
      <c r="L11" s="77">
        <f t="shared" si="15"/>
        <v>947</v>
      </c>
      <c r="M11" s="77">
        <v>49</v>
      </c>
      <c r="N11" s="78">
        <f t="shared" si="16"/>
        <v>87580</v>
      </c>
      <c r="O11" s="77">
        <f t="shared" si="17"/>
        <v>29</v>
      </c>
      <c r="P11" s="77">
        <f t="shared" si="18"/>
        <v>2946</v>
      </c>
      <c r="Q11" s="74">
        <f t="shared" si="19"/>
        <v>0.07856</v>
      </c>
      <c r="R11" s="78">
        <f t="shared" si="20"/>
        <v>1081160</v>
      </c>
      <c r="S11" s="77">
        <f t="shared" si="21"/>
        <v>358</v>
      </c>
      <c r="T11" s="77">
        <f t="shared" si="22"/>
        <v>1890.63</v>
      </c>
      <c r="U11" s="77">
        <f t="shared" si="23"/>
        <v>6444.63</v>
      </c>
      <c r="V11" s="78">
        <f t="shared" si="24"/>
        <v>3020</v>
      </c>
      <c r="W11" s="78">
        <f t="shared" si="25"/>
        <v>19462783</v>
      </c>
      <c r="X11" s="81">
        <f>'Tables 6-8 Local Wealth'!M11</f>
        <v>0.51446456</v>
      </c>
      <c r="Y11" s="81">
        <f t="shared" si="26"/>
        <v>0.00648926</v>
      </c>
      <c r="Z11" s="81">
        <f t="shared" si="27"/>
        <v>0.00333849</v>
      </c>
      <c r="AA11" s="78">
        <f t="shared" si="0"/>
        <v>3504516.1347088823</v>
      </c>
      <c r="AB11" s="82">
        <f t="shared" si="28"/>
        <v>0.1801</v>
      </c>
      <c r="AC11" s="83">
        <f t="shared" si="29"/>
        <v>15958266.865291119</v>
      </c>
      <c r="AD11" s="82">
        <f t="shared" si="30"/>
        <v>0.8199</v>
      </c>
      <c r="AE11" s="78">
        <f>'Tables 6-8 Local Wealth'!BI11</f>
        <v>6648658</v>
      </c>
      <c r="AF11" s="78">
        <f t="shared" si="31"/>
        <v>3144141.8652911177</v>
      </c>
      <c r="AG11" s="86">
        <f t="shared" si="32"/>
        <v>0</v>
      </c>
      <c r="AH11" s="78">
        <f t="shared" si="33"/>
        <v>6422718</v>
      </c>
      <c r="AI11" s="78">
        <f t="shared" si="34"/>
        <v>3144141.8652911177</v>
      </c>
      <c r="AJ11" s="83">
        <f t="shared" si="35"/>
        <v>2173612.128508373</v>
      </c>
      <c r="AK11" s="82">
        <f t="shared" si="36"/>
        <v>0.6913212639999999</v>
      </c>
      <c r="AL11" s="78">
        <f t="shared" si="37"/>
        <v>2266549.397567179</v>
      </c>
      <c r="AM11" s="78">
        <f t="shared" si="38"/>
        <v>5317753.993799491</v>
      </c>
      <c r="AN11" s="78">
        <f t="shared" si="39"/>
        <v>18131878.993799493</v>
      </c>
      <c r="AO11" s="78">
        <f t="shared" si="40"/>
        <v>3981.52811</v>
      </c>
      <c r="AP11" s="78">
        <v>17016057</v>
      </c>
      <c r="AQ11" s="73">
        <v>4597</v>
      </c>
      <c r="AR11" s="163">
        <f t="shared" si="41"/>
        <v>3701.56</v>
      </c>
      <c r="AS11" s="82">
        <f t="shared" si="1"/>
        <v>0.929683251690015</v>
      </c>
      <c r="AT11" s="310">
        <f t="shared" si="42"/>
        <v>1115821.9937994927</v>
      </c>
      <c r="AU11" s="78">
        <f t="shared" si="2"/>
        <v>1115822.0129</v>
      </c>
      <c r="AV11" s="78">
        <f t="shared" si="43"/>
        <v>0</v>
      </c>
      <c r="AW11" s="77">
        <f t="shared" si="3"/>
        <v>0</v>
      </c>
      <c r="AX11" s="78">
        <f t="shared" si="44"/>
        <v>0</v>
      </c>
      <c r="AY11" s="78">
        <f t="shared" si="4"/>
        <v>16856904.24</v>
      </c>
      <c r="AZ11" s="78">
        <f t="shared" si="45"/>
        <v>18131879.0129</v>
      </c>
      <c r="BA11" s="78">
        <f t="shared" si="46"/>
        <v>18131879.0129</v>
      </c>
      <c r="BB11" s="78">
        <f t="shared" si="5"/>
        <v>3981.53</v>
      </c>
      <c r="BC11" s="82">
        <f t="shared" si="6"/>
        <v>1.0000004746921152</v>
      </c>
      <c r="BD11" s="82">
        <f t="shared" si="47"/>
        <v>0.73</v>
      </c>
      <c r="BE11" s="78">
        <f t="shared" si="7"/>
        <v>6648658</v>
      </c>
      <c r="BF11" s="78">
        <f t="shared" si="8"/>
        <v>1459.96</v>
      </c>
      <c r="BG11" s="82">
        <f t="shared" si="48"/>
        <v>0.2683</v>
      </c>
      <c r="BH11" s="78">
        <f t="shared" si="49"/>
        <v>24780537.01</v>
      </c>
      <c r="BI11" s="78">
        <f t="shared" si="9"/>
        <v>5441.49</v>
      </c>
      <c r="BJ11" s="77">
        <v>4594</v>
      </c>
      <c r="BK11" s="7">
        <v>4</v>
      </c>
      <c r="BL11" s="77" t="s">
        <v>10</v>
      </c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</row>
    <row r="12" spans="1:164" s="124" customFormat="1" ht="12.75">
      <c r="A12" s="115">
        <v>5</v>
      </c>
      <c r="B12" s="116" t="s">
        <v>11</v>
      </c>
      <c r="C12" s="116">
        <v>7199</v>
      </c>
      <c r="D12" s="116">
        <v>4884</v>
      </c>
      <c r="E12" s="117">
        <f t="shared" si="10"/>
        <v>2507446</v>
      </c>
      <c r="F12" s="118">
        <f t="shared" si="11"/>
        <v>830.28</v>
      </c>
      <c r="G12" s="116">
        <v>2242</v>
      </c>
      <c r="H12" s="117">
        <f t="shared" si="12"/>
        <v>338240</v>
      </c>
      <c r="I12" s="116">
        <f t="shared" si="13"/>
        <v>112</v>
      </c>
      <c r="J12" s="116">
        <v>702</v>
      </c>
      <c r="K12" s="117">
        <f t="shared" si="14"/>
        <v>3180060</v>
      </c>
      <c r="L12" s="116">
        <f t="shared" si="15"/>
        <v>1053</v>
      </c>
      <c r="M12" s="116">
        <v>36</v>
      </c>
      <c r="N12" s="117">
        <f t="shared" si="16"/>
        <v>66440</v>
      </c>
      <c r="O12" s="116">
        <f t="shared" si="17"/>
        <v>22</v>
      </c>
      <c r="P12" s="116">
        <f t="shared" si="18"/>
        <v>301</v>
      </c>
      <c r="Q12" s="119">
        <f t="shared" si="19"/>
        <v>0.00803</v>
      </c>
      <c r="R12" s="117">
        <f t="shared" si="20"/>
        <v>175160</v>
      </c>
      <c r="S12" s="116">
        <f t="shared" si="21"/>
        <v>58</v>
      </c>
      <c r="T12" s="116">
        <f t="shared" si="22"/>
        <v>2075.2799999999997</v>
      </c>
      <c r="U12" s="116">
        <f t="shared" si="23"/>
        <v>9274.279999999999</v>
      </c>
      <c r="V12" s="117">
        <f t="shared" si="24"/>
        <v>3020</v>
      </c>
      <c r="W12" s="117">
        <f t="shared" si="25"/>
        <v>28008326</v>
      </c>
      <c r="X12" s="121">
        <f>'Tables 6-8 Local Wealth'!M12</f>
        <v>0.51443922</v>
      </c>
      <c r="Y12" s="121">
        <f t="shared" si="26"/>
        <v>0.0093385</v>
      </c>
      <c r="Z12" s="121">
        <f t="shared" si="27"/>
        <v>0.00480409</v>
      </c>
      <c r="AA12" s="117">
        <f t="shared" si="0"/>
        <v>5043001.751568402</v>
      </c>
      <c r="AB12" s="122">
        <f t="shared" si="28"/>
        <v>0.1801</v>
      </c>
      <c r="AC12" s="123">
        <f t="shared" si="29"/>
        <v>22965324.248431597</v>
      </c>
      <c r="AD12" s="122">
        <f t="shared" si="30"/>
        <v>0.8199</v>
      </c>
      <c r="AE12" s="117">
        <f>'Tables 6-8 Local Wealth'!BI12</f>
        <v>5849226</v>
      </c>
      <c r="AF12" s="117">
        <f t="shared" si="31"/>
        <v>806224.2484315978</v>
      </c>
      <c r="AG12" s="179">
        <f t="shared" si="32"/>
        <v>0</v>
      </c>
      <c r="AH12" s="117">
        <f t="shared" si="33"/>
        <v>9242748</v>
      </c>
      <c r="AI12" s="117">
        <f t="shared" si="34"/>
        <v>806224.2484315978</v>
      </c>
      <c r="AJ12" s="123">
        <f t="shared" si="35"/>
        <v>557372.2243266554</v>
      </c>
      <c r="AK12" s="122">
        <f t="shared" si="36"/>
        <v>0.691336468</v>
      </c>
      <c r="AL12" s="117">
        <f t="shared" si="37"/>
        <v>5832476.532607409</v>
      </c>
      <c r="AM12" s="117">
        <f t="shared" si="38"/>
        <v>1363596.472758253</v>
      </c>
      <c r="AN12" s="117">
        <f t="shared" si="39"/>
        <v>23522696.472758252</v>
      </c>
      <c r="AO12" s="117">
        <f t="shared" si="40"/>
        <v>3267.495</v>
      </c>
      <c r="AP12" s="117">
        <v>23483289</v>
      </c>
      <c r="AQ12" s="162">
        <v>7270</v>
      </c>
      <c r="AR12" s="164">
        <f t="shared" si="41"/>
        <v>3230.16</v>
      </c>
      <c r="AS12" s="122">
        <f t="shared" si="1"/>
        <v>0.9885738157212176</v>
      </c>
      <c r="AT12" s="311">
        <f t="shared" si="42"/>
        <v>39407.472758252174</v>
      </c>
      <c r="AU12" s="117">
        <f t="shared" si="2"/>
        <v>39407.505</v>
      </c>
      <c r="AV12" s="117">
        <f t="shared" si="43"/>
        <v>0</v>
      </c>
      <c r="AW12" s="116">
        <f t="shared" si="3"/>
        <v>0</v>
      </c>
      <c r="AX12" s="117">
        <f t="shared" si="44"/>
        <v>0</v>
      </c>
      <c r="AY12" s="117">
        <f t="shared" si="4"/>
        <v>23253921.84</v>
      </c>
      <c r="AZ12" s="117">
        <f t="shared" si="45"/>
        <v>23522696.505</v>
      </c>
      <c r="BA12" s="117">
        <f t="shared" si="46"/>
        <v>23522696.505</v>
      </c>
      <c r="BB12" s="117">
        <f t="shared" si="5"/>
        <v>3267.5</v>
      </c>
      <c r="BC12" s="122">
        <f t="shared" si="6"/>
        <v>1.0000015302242238</v>
      </c>
      <c r="BD12" s="122">
        <f t="shared" si="47"/>
        <v>0.8</v>
      </c>
      <c r="BE12" s="117">
        <f t="shared" si="7"/>
        <v>5849226</v>
      </c>
      <c r="BF12" s="117">
        <f t="shared" si="8"/>
        <v>812.51</v>
      </c>
      <c r="BG12" s="122">
        <f t="shared" si="48"/>
        <v>0.1991</v>
      </c>
      <c r="BH12" s="117">
        <f t="shared" si="49"/>
        <v>29371922.51</v>
      </c>
      <c r="BI12" s="117">
        <f t="shared" si="9"/>
        <v>4080</v>
      </c>
      <c r="BJ12" s="116">
        <v>7412</v>
      </c>
      <c r="BK12" s="124">
        <v>5</v>
      </c>
      <c r="BL12" s="116" t="s">
        <v>11</v>
      </c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</row>
    <row r="13" spans="1:164" s="7" customFormat="1" ht="12.75">
      <c r="A13" s="76">
        <v>6</v>
      </c>
      <c r="B13" s="77" t="s">
        <v>12</v>
      </c>
      <c r="C13" s="77">
        <v>6124</v>
      </c>
      <c r="D13" s="77">
        <v>2601</v>
      </c>
      <c r="E13" s="78">
        <f t="shared" si="10"/>
        <v>1335353</v>
      </c>
      <c r="F13" s="79">
        <f t="shared" si="11"/>
        <v>442.17</v>
      </c>
      <c r="G13" s="77">
        <v>1727</v>
      </c>
      <c r="H13" s="78">
        <f t="shared" si="12"/>
        <v>259720</v>
      </c>
      <c r="I13" s="77">
        <f t="shared" si="13"/>
        <v>86</v>
      </c>
      <c r="J13" s="77">
        <v>715</v>
      </c>
      <c r="K13" s="78">
        <f t="shared" si="14"/>
        <v>3240460</v>
      </c>
      <c r="L13" s="77">
        <f t="shared" si="15"/>
        <v>1073</v>
      </c>
      <c r="M13" s="77">
        <v>162</v>
      </c>
      <c r="N13" s="78">
        <f t="shared" si="16"/>
        <v>292940</v>
      </c>
      <c r="O13" s="77">
        <f t="shared" si="17"/>
        <v>97</v>
      </c>
      <c r="P13" s="77">
        <f t="shared" si="18"/>
        <v>1376</v>
      </c>
      <c r="Q13" s="74">
        <f t="shared" si="19"/>
        <v>0.03669</v>
      </c>
      <c r="R13" s="78">
        <f t="shared" si="20"/>
        <v>679500</v>
      </c>
      <c r="S13" s="77">
        <f t="shared" si="21"/>
        <v>225</v>
      </c>
      <c r="T13" s="77">
        <f t="shared" si="22"/>
        <v>1923.17</v>
      </c>
      <c r="U13" s="77">
        <f t="shared" si="23"/>
        <v>8047.17</v>
      </c>
      <c r="V13" s="78">
        <f t="shared" si="24"/>
        <v>3020</v>
      </c>
      <c r="W13" s="78">
        <f t="shared" si="25"/>
        <v>24302453</v>
      </c>
      <c r="X13" s="81">
        <f>'Tables 6-8 Local Wealth'!M13</f>
        <v>0.82619714</v>
      </c>
      <c r="Y13" s="81">
        <f t="shared" si="26"/>
        <v>0.00810289</v>
      </c>
      <c r="Z13" s="81">
        <f t="shared" si="27"/>
        <v>0.00669458</v>
      </c>
      <c r="AA13" s="78">
        <f t="shared" si="0"/>
        <v>7027507.533375686</v>
      </c>
      <c r="AB13" s="82">
        <f t="shared" si="28"/>
        <v>0.2892</v>
      </c>
      <c r="AC13" s="83">
        <f t="shared" si="29"/>
        <v>17274945.466624312</v>
      </c>
      <c r="AD13" s="82">
        <f t="shared" si="30"/>
        <v>0.7108</v>
      </c>
      <c r="AE13" s="78">
        <f>'Tables 6-8 Local Wealth'!BI13</f>
        <v>12251393</v>
      </c>
      <c r="AF13" s="78">
        <f t="shared" si="31"/>
        <v>5223885.466624314</v>
      </c>
      <c r="AG13" s="86">
        <f t="shared" si="32"/>
        <v>0</v>
      </c>
      <c r="AH13" s="78">
        <f t="shared" si="33"/>
        <v>8019809</v>
      </c>
      <c r="AI13" s="78">
        <f t="shared" si="34"/>
        <v>5223885.466624314</v>
      </c>
      <c r="AJ13" s="83">
        <f t="shared" si="35"/>
        <v>2634309.92729677</v>
      </c>
      <c r="AK13" s="82">
        <f t="shared" si="36"/>
        <v>0.504281716</v>
      </c>
      <c r="AL13" s="78">
        <f t="shared" si="37"/>
        <v>1409933.1172154746</v>
      </c>
      <c r="AM13" s="78">
        <f t="shared" si="38"/>
        <v>7858195.393921084</v>
      </c>
      <c r="AN13" s="78">
        <f t="shared" si="39"/>
        <v>19909255.39392108</v>
      </c>
      <c r="AO13" s="78">
        <f t="shared" si="40"/>
        <v>3251.02146</v>
      </c>
      <c r="AP13" s="78">
        <v>19090747</v>
      </c>
      <c r="AQ13" s="73">
        <v>6142</v>
      </c>
      <c r="AR13" s="163">
        <f t="shared" si="41"/>
        <v>3108.23</v>
      </c>
      <c r="AS13" s="82">
        <f t="shared" si="1"/>
        <v>0.9560779706449554</v>
      </c>
      <c r="AT13" s="310">
        <f t="shared" si="42"/>
        <v>818508.393921081</v>
      </c>
      <c r="AU13" s="78">
        <f t="shared" si="2"/>
        <v>818508.421</v>
      </c>
      <c r="AV13" s="78">
        <f t="shared" si="43"/>
        <v>0</v>
      </c>
      <c r="AW13" s="77">
        <f t="shared" si="3"/>
        <v>0</v>
      </c>
      <c r="AX13" s="78">
        <f t="shared" si="44"/>
        <v>0</v>
      </c>
      <c r="AY13" s="78">
        <f t="shared" si="4"/>
        <v>19034800.52</v>
      </c>
      <c r="AZ13" s="78">
        <f t="shared" si="45"/>
        <v>19909255.421</v>
      </c>
      <c r="BA13" s="78">
        <f t="shared" si="46"/>
        <v>19909255.421</v>
      </c>
      <c r="BB13" s="78">
        <f t="shared" si="5"/>
        <v>3251.02</v>
      </c>
      <c r="BC13" s="82">
        <f t="shared" si="6"/>
        <v>0.9999995509103776</v>
      </c>
      <c r="BD13" s="82">
        <f t="shared" si="47"/>
        <v>0.62</v>
      </c>
      <c r="BE13" s="78">
        <f t="shared" si="7"/>
        <v>12251393</v>
      </c>
      <c r="BF13" s="78">
        <f t="shared" si="8"/>
        <v>2000.55</v>
      </c>
      <c r="BG13" s="82">
        <f t="shared" si="48"/>
        <v>0.3809</v>
      </c>
      <c r="BH13" s="78">
        <f t="shared" si="49"/>
        <v>32160648.42</v>
      </c>
      <c r="BI13" s="78">
        <f t="shared" si="9"/>
        <v>5251.58</v>
      </c>
      <c r="BJ13" s="77">
        <v>6282</v>
      </c>
      <c r="BK13" s="7">
        <v>6</v>
      </c>
      <c r="BL13" s="77" t="s">
        <v>12</v>
      </c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s="7" customFormat="1" ht="12.75">
      <c r="A14" s="76">
        <v>7</v>
      </c>
      <c r="B14" s="77" t="s">
        <v>13</v>
      </c>
      <c r="C14" s="77">
        <v>2663</v>
      </c>
      <c r="D14" s="77">
        <v>2099</v>
      </c>
      <c r="E14" s="78">
        <f t="shared" si="10"/>
        <v>1077627</v>
      </c>
      <c r="F14" s="79">
        <f t="shared" si="11"/>
        <v>356.83</v>
      </c>
      <c r="G14" s="77">
        <v>1114</v>
      </c>
      <c r="H14" s="78">
        <f t="shared" si="12"/>
        <v>169120</v>
      </c>
      <c r="I14" s="77">
        <f t="shared" si="13"/>
        <v>56</v>
      </c>
      <c r="J14" s="77">
        <v>325</v>
      </c>
      <c r="K14" s="78">
        <f t="shared" si="14"/>
        <v>1473760</v>
      </c>
      <c r="L14" s="77">
        <f t="shared" si="15"/>
        <v>488</v>
      </c>
      <c r="M14" s="77">
        <v>23</v>
      </c>
      <c r="N14" s="78">
        <f t="shared" si="16"/>
        <v>42280</v>
      </c>
      <c r="O14" s="77">
        <f t="shared" si="17"/>
        <v>14</v>
      </c>
      <c r="P14" s="77">
        <f t="shared" si="18"/>
        <v>4837</v>
      </c>
      <c r="Q14" s="74">
        <f t="shared" si="19"/>
        <v>0.12899</v>
      </c>
      <c r="R14" s="78">
        <f t="shared" si="20"/>
        <v>1038880</v>
      </c>
      <c r="S14" s="77">
        <f t="shared" si="21"/>
        <v>344</v>
      </c>
      <c r="T14" s="77">
        <f t="shared" si="22"/>
        <v>1258.83</v>
      </c>
      <c r="U14" s="77">
        <f t="shared" si="23"/>
        <v>3921.83</v>
      </c>
      <c r="V14" s="78">
        <f t="shared" si="24"/>
        <v>3020</v>
      </c>
      <c r="W14" s="78">
        <f t="shared" si="25"/>
        <v>11843927</v>
      </c>
      <c r="X14" s="81">
        <f>'Tables 6-8 Local Wealth'!M14</f>
        <v>1.119594</v>
      </c>
      <c r="Y14" s="81">
        <f t="shared" si="26"/>
        <v>0.00394899</v>
      </c>
      <c r="Z14" s="81">
        <f t="shared" si="27"/>
        <v>0.00442127</v>
      </c>
      <c r="AA14" s="78">
        <f t="shared" si="0"/>
        <v>4641143.7658655085</v>
      </c>
      <c r="AB14" s="82">
        <f t="shared" si="28"/>
        <v>0.3919</v>
      </c>
      <c r="AC14" s="83">
        <f t="shared" si="29"/>
        <v>7202783.2341344915</v>
      </c>
      <c r="AD14" s="82">
        <f t="shared" si="30"/>
        <v>0.6081</v>
      </c>
      <c r="AE14" s="78">
        <f>'Tables 6-8 Local Wealth'!BI14</f>
        <v>7375320</v>
      </c>
      <c r="AF14" s="78">
        <f t="shared" si="31"/>
        <v>2734176.2341344915</v>
      </c>
      <c r="AG14" s="86">
        <f t="shared" si="32"/>
        <v>0</v>
      </c>
      <c r="AH14" s="78">
        <f t="shared" si="33"/>
        <v>3908496</v>
      </c>
      <c r="AI14" s="78">
        <f t="shared" si="34"/>
        <v>2734176.2341344915</v>
      </c>
      <c r="AJ14" s="83">
        <f t="shared" si="35"/>
        <v>897475.8501267486</v>
      </c>
      <c r="AK14" s="82">
        <f t="shared" si="36"/>
        <v>0.3282436000000001</v>
      </c>
      <c r="AL14" s="78">
        <f t="shared" si="37"/>
        <v>385462.9474988518</v>
      </c>
      <c r="AM14" s="78">
        <f t="shared" si="38"/>
        <v>3631652.08426124</v>
      </c>
      <c r="AN14" s="78">
        <f t="shared" si="39"/>
        <v>8100259.08426124</v>
      </c>
      <c r="AO14" s="78">
        <f t="shared" si="40"/>
        <v>3041.7796</v>
      </c>
      <c r="AP14" s="78">
        <v>8448451</v>
      </c>
      <c r="AQ14" s="73">
        <v>2797</v>
      </c>
      <c r="AR14" s="163">
        <f t="shared" si="41"/>
        <v>3020.54</v>
      </c>
      <c r="AS14" s="82">
        <f t="shared" si="1"/>
        <v>0.9930173770644001</v>
      </c>
      <c r="AT14" s="310">
        <f t="shared" si="42"/>
        <v>0</v>
      </c>
      <c r="AU14" s="78">
        <f t="shared" si="2"/>
        <v>-348191.9252</v>
      </c>
      <c r="AV14" s="78">
        <f t="shared" si="43"/>
        <v>0</v>
      </c>
      <c r="AW14" s="77">
        <f t="shared" si="3"/>
        <v>0</v>
      </c>
      <c r="AX14" s="78">
        <f t="shared" si="44"/>
        <v>0</v>
      </c>
      <c r="AY14" s="78">
        <f t="shared" si="4"/>
        <v>8043698.02</v>
      </c>
      <c r="AZ14" s="78">
        <f t="shared" si="45"/>
        <v>8100259.0748</v>
      </c>
      <c r="BA14" s="78">
        <f t="shared" si="46"/>
        <v>8100259.0748</v>
      </c>
      <c r="BB14" s="78">
        <f t="shared" si="5"/>
        <v>3041.78</v>
      </c>
      <c r="BC14" s="82">
        <f t="shared" si="6"/>
        <v>1.0000001315019669</v>
      </c>
      <c r="BD14" s="82">
        <f t="shared" si="47"/>
        <v>0.52</v>
      </c>
      <c r="BE14" s="78">
        <f t="shared" si="7"/>
        <v>7375320</v>
      </c>
      <c r="BF14" s="78">
        <f t="shared" si="8"/>
        <v>2769.55</v>
      </c>
      <c r="BG14" s="82">
        <f t="shared" si="48"/>
        <v>0.4766</v>
      </c>
      <c r="BH14" s="78">
        <f t="shared" si="49"/>
        <v>15475579.07</v>
      </c>
      <c r="BI14" s="78">
        <f t="shared" si="9"/>
        <v>5811.33</v>
      </c>
      <c r="BJ14" s="77">
        <v>2915</v>
      </c>
      <c r="BK14" s="7">
        <v>7</v>
      </c>
      <c r="BL14" s="77" t="s">
        <v>13</v>
      </c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</row>
    <row r="15" spans="1:164" s="7" customFormat="1" ht="12.75">
      <c r="A15" s="76">
        <v>8</v>
      </c>
      <c r="B15" s="77" t="s">
        <v>14</v>
      </c>
      <c r="C15" s="77">
        <v>18681</v>
      </c>
      <c r="D15" s="77">
        <v>6823</v>
      </c>
      <c r="E15" s="78">
        <f t="shared" si="10"/>
        <v>3502928</v>
      </c>
      <c r="F15" s="79">
        <f t="shared" si="11"/>
        <v>1159.91</v>
      </c>
      <c r="G15" s="77">
        <v>4748</v>
      </c>
      <c r="H15" s="78">
        <f t="shared" si="12"/>
        <v>715740</v>
      </c>
      <c r="I15" s="77">
        <f t="shared" si="13"/>
        <v>237</v>
      </c>
      <c r="J15" s="77">
        <v>2089</v>
      </c>
      <c r="K15" s="78">
        <f t="shared" si="14"/>
        <v>9464680</v>
      </c>
      <c r="L15" s="77">
        <f t="shared" si="15"/>
        <v>3134</v>
      </c>
      <c r="M15" s="77">
        <v>513</v>
      </c>
      <c r="N15" s="78">
        <f t="shared" si="16"/>
        <v>930160</v>
      </c>
      <c r="O15" s="77">
        <f t="shared" si="17"/>
        <v>308</v>
      </c>
      <c r="P15" s="77">
        <f t="shared" si="18"/>
        <v>0</v>
      </c>
      <c r="Q15" s="74">
        <f t="shared" si="19"/>
        <v>0</v>
      </c>
      <c r="R15" s="78">
        <f t="shared" si="20"/>
        <v>0</v>
      </c>
      <c r="S15" s="77">
        <f t="shared" si="21"/>
        <v>0</v>
      </c>
      <c r="T15" s="77">
        <f t="shared" si="22"/>
        <v>4838.91</v>
      </c>
      <c r="U15" s="77">
        <f t="shared" si="23"/>
        <v>23519.91</v>
      </c>
      <c r="V15" s="78">
        <f t="shared" si="24"/>
        <v>3020</v>
      </c>
      <c r="W15" s="78">
        <f t="shared" si="25"/>
        <v>71030128</v>
      </c>
      <c r="X15" s="81">
        <f>'Tables 6-8 Local Wealth'!M15</f>
        <v>0.89293815</v>
      </c>
      <c r="Y15" s="81">
        <f t="shared" si="26"/>
        <v>0.02368278</v>
      </c>
      <c r="Z15" s="81">
        <f t="shared" si="27"/>
        <v>0.02114726</v>
      </c>
      <c r="AA15" s="78">
        <f t="shared" si="0"/>
        <v>22198932.41402064</v>
      </c>
      <c r="AB15" s="82">
        <f t="shared" si="28"/>
        <v>0.3125</v>
      </c>
      <c r="AC15" s="83">
        <f t="shared" si="29"/>
        <v>48831195.58597936</v>
      </c>
      <c r="AD15" s="82">
        <f t="shared" si="30"/>
        <v>0.6875</v>
      </c>
      <c r="AE15" s="78">
        <f>'Tables 6-8 Local Wealth'!BI15</f>
        <v>34601454</v>
      </c>
      <c r="AF15" s="78">
        <f t="shared" si="31"/>
        <v>12402521.585979361</v>
      </c>
      <c r="AG15" s="86">
        <f t="shared" si="32"/>
        <v>0</v>
      </c>
      <c r="AH15" s="78">
        <f t="shared" si="33"/>
        <v>23439942</v>
      </c>
      <c r="AI15" s="78">
        <f t="shared" si="34"/>
        <v>12402521.585979361</v>
      </c>
      <c r="AJ15" s="83">
        <f t="shared" si="35"/>
        <v>5757710.777787675</v>
      </c>
      <c r="AK15" s="82">
        <f t="shared" si="36"/>
        <v>0.46423711</v>
      </c>
      <c r="AL15" s="78">
        <f t="shared" si="37"/>
        <v>5123980.154859944</v>
      </c>
      <c r="AM15" s="78">
        <f t="shared" si="38"/>
        <v>18160232.363767035</v>
      </c>
      <c r="AN15" s="78">
        <f t="shared" si="39"/>
        <v>54588906.363767035</v>
      </c>
      <c r="AO15" s="78">
        <f t="shared" si="40"/>
        <v>2922.1619</v>
      </c>
      <c r="AP15" s="78">
        <v>51430160</v>
      </c>
      <c r="AQ15" s="73">
        <v>18522</v>
      </c>
      <c r="AR15" s="163">
        <f t="shared" si="41"/>
        <v>2776.71</v>
      </c>
      <c r="AS15" s="82">
        <f t="shared" si="1"/>
        <v>0.9502245580575122</v>
      </c>
      <c r="AT15" s="310">
        <f t="shared" si="42"/>
        <v>3158746.3637670353</v>
      </c>
      <c r="AU15" s="78">
        <f t="shared" si="2"/>
        <v>3158746.4539</v>
      </c>
      <c r="AV15" s="78">
        <f t="shared" si="43"/>
        <v>0</v>
      </c>
      <c r="AW15" s="77">
        <f t="shared" si="3"/>
        <v>0</v>
      </c>
      <c r="AX15" s="78">
        <f t="shared" si="44"/>
        <v>0</v>
      </c>
      <c r="AY15" s="78">
        <f t="shared" si="4"/>
        <v>51430160</v>
      </c>
      <c r="AZ15" s="78">
        <f t="shared" si="45"/>
        <v>54588906.4539</v>
      </c>
      <c r="BA15" s="78">
        <f t="shared" si="46"/>
        <v>54588906.4539</v>
      </c>
      <c r="BB15" s="78">
        <f t="shared" si="5"/>
        <v>2922.16</v>
      </c>
      <c r="BC15" s="82">
        <f t="shared" si="6"/>
        <v>0.999999349796464</v>
      </c>
      <c r="BD15" s="82">
        <f t="shared" si="47"/>
        <v>0.61</v>
      </c>
      <c r="BE15" s="78">
        <f t="shared" si="7"/>
        <v>34601454</v>
      </c>
      <c r="BF15" s="78">
        <f t="shared" si="8"/>
        <v>1852.23</v>
      </c>
      <c r="BG15" s="82">
        <f t="shared" si="48"/>
        <v>0.388</v>
      </c>
      <c r="BH15" s="78">
        <f t="shared" si="49"/>
        <v>89190360.45</v>
      </c>
      <c r="BI15" s="78">
        <f t="shared" si="9"/>
        <v>4774.39</v>
      </c>
      <c r="BJ15" s="77">
        <v>18831</v>
      </c>
      <c r="BK15" s="7">
        <v>8</v>
      </c>
      <c r="BL15" s="77" t="s">
        <v>14</v>
      </c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s="7" customFormat="1" ht="12.75">
      <c r="A16" s="76">
        <v>9</v>
      </c>
      <c r="B16" s="77" t="s">
        <v>15</v>
      </c>
      <c r="C16" s="77">
        <v>45417</v>
      </c>
      <c r="D16" s="77">
        <v>24142</v>
      </c>
      <c r="E16" s="78">
        <f t="shared" si="10"/>
        <v>12394503</v>
      </c>
      <c r="F16" s="79">
        <f t="shared" si="11"/>
        <v>4104.14</v>
      </c>
      <c r="G16" s="77">
        <v>10645</v>
      </c>
      <c r="H16" s="78">
        <f t="shared" si="12"/>
        <v>1606640</v>
      </c>
      <c r="I16" s="77">
        <f t="shared" si="13"/>
        <v>532</v>
      </c>
      <c r="J16" s="77">
        <v>6223</v>
      </c>
      <c r="K16" s="78">
        <f t="shared" si="14"/>
        <v>28191700</v>
      </c>
      <c r="L16" s="77">
        <f t="shared" si="15"/>
        <v>9335</v>
      </c>
      <c r="M16" s="77">
        <v>1389</v>
      </c>
      <c r="N16" s="78">
        <f t="shared" si="16"/>
        <v>2515660</v>
      </c>
      <c r="O16" s="77">
        <f t="shared" si="17"/>
        <v>833</v>
      </c>
      <c r="P16" s="77">
        <f t="shared" si="18"/>
        <v>0</v>
      </c>
      <c r="Q16" s="74">
        <f t="shared" si="19"/>
        <v>0</v>
      </c>
      <c r="R16" s="78">
        <f t="shared" si="20"/>
        <v>0</v>
      </c>
      <c r="S16" s="77">
        <f t="shared" si="21"/>
        <v>0</v>
      </c>
      <c r="T16" s="77">
        <f t="shared" si="22"/>
        <v>14804.14</v>
      </c>
      <c r="U16" s="77">
        <f t="shared" si="23"/>
        <v>60221.14</v>
      </c>
      <c r="V16" s="78">
        <f t="shared" si="24"/>
        <v>3020</v>
      </c>
      <c r="W16" s="78">
        <f t="shared" si="25"/>
        <v>181867843</v>
      </c>
      <c r="X16" s="81">
        <f>'Tables 6-8 Local Wealth'!M16</f>
        <v>0.91723583</v>
      </c>
      <c r="Y16" s="81">
        <f t="shared" si="26"/>
        <v>0.06063815</v>
      </c>
      <c r="Z16" s="81">
        <f t="shared" si="27"/>
        <v>0.05561948</v>
      </c>
      <c r="AA16" s="78">
        <f t="shared" si="0"/>
        <v>58385487.17058251</v>
      </c>
      <c r="AB16" s="82">
        <f t="shared" si="28"/>
        <v>0.321</v>
      </c>
      <c r="AC16" s="83">
        <f t="shared" si="29"/>
        <v>123482355.8294175</v>
      </c>
      <c r="AD16" s="82">
        <f t="shared" si="30"/>
        <v>0.679</v>
      </c>
      <c r="AE16" s="78">
        <f>'Tables 6-8 Local Wealth'!BI16</f>
        <v>112720693</v>
      </c>
      <c r="AF16" s="78">
        <f t="shared" si="31"/>
        <v>54335205.82941749</v>
      </c>
      <c r="AG16" s="86">
        <f t="shared" si="32"/>
        <v>0</v>
      </c>
      <c r="AH16" s="78">
        <f t="shared" si="33"/>
        <v>60016388</v>
      </c>
      <c r="AI16" s="78">
        <f t="shared" si="34"/>
        <v>54335205.82941749</v>
      </c>
      <c r="AJ16" s="83">
        <f t="shared" si="35"/>
        <v>24432287.259117536</v>
      </c>
      <c r="AK16" s="82">
        <f t="shared" si="36"/>
        <v>0.449658502</v>
      </c>
      <c r="AL16" s="78">
        <f t="shared" si="37"/>
        <v>2554591.864413239</v>
      </c>
      <c r="AM16" s="78">
        <f t="shared" si="38"/>
        <v>78767493.08853503</v>
      </c>
      <c r="AN16" s="78">
        <f t="shared" si="39"/>
        <v>147914643.08853504</v>
      </c>
      <c r="AO16" s="78">
        <f t="shared" si="40"/>
        <v>3256.81227</v>
      </c>
      <c r="AP16" s="78">
        <v>139503075</v>
      </c>
      <c r="AQ16" s="73">
        <v>46293</v>
      </c>
      <c r="AR16" s="163">
        <f t="shared" si="41"/>
        <v>3013.48</v>
      </c>
      <c r="AS16" s="82">
        <f t="shared" si="1"/>
        <v>0.9252851408595314</v>
      </c>
      <c r="AT16" s="310">
        <f t="shared" si="42"/>
        <v>8411568.08853504</v>
      </c>
      <c r="AU16" s="78">
        <f t="shared" si="2"/>
        <v>8411567.8666</v>
      </c>
      <c r="AV16" s="78">
        <f t="shared" si="43"/>
        <v>0</v>
      </c>
      <c r="AW16" s="77">
        <f t="shared" si="3"/>
        <v>0</v>
      </c>
      <c r="AX16" s="78">
        <f t="shared" si="44"/>
        <v>0</v>
      </c>
      <c r="AY16" s="78">
        <f t="shared" si="4"/>
        <v>136863221.16</v>
      </c>
      <c r="AZ16" s="78">
        <f t="shared" si="45"/>
        <v>147914642.8666</v>
      </c>
      <c r="BA16" s="78">
        <f t="shared" si="46"/>
        <v>147914642.8666</v>
      </c>
      <c r="BB16" s="78">
        <f t="shared" si="5"/>
        <v>3256.81</v>
      </c>
      <c r="BC16" s="82">
        <f t="shared" si="6"/>
        <v>0.9999993029994326</v>
      </c>
      <c r="BD16" s="82">
        <f t="shared" si="47"/>
        <v>0.57</v>
      </c>
      <c r="BE16" s="78">
        <f t="shared" si="7"/>
        <v>112720693</v>
      </c>
      <c r="BF16" s="78">
        <f t="shared" si="8"/>
        <v>2481.91</v>
      </c>
      <c r="BG16" s="82">
        <f t="shared" si="48"/>
        <v>0.4325</v>
      </c>
      <c r="BH16" s="78">
        <f t="shared" si="49"/>
        <v>260635335.87</v>
      </c>
      <c r="BI16" s="78">
        <f t="shared" si="9"/>
        <v>5738.72</v>
      </c>
      <c r="BJ16" s="77">
        <v>47475</v>
      </c>
      <c r="BK16" s="7">
        <v>9</v>
      </c>
      <c r="BL16" s="77" t="s">
        <v>15</v>
      </c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</row>
    <row r="17" spans="1:164" s="124" customFormat="1" ht="12.75">
      <c r="A17" s="115">
        <v>10</v>
      </c>
      <c r="B17" s="116" t="s">
        <v>16</v>
      </c>
      <c r="C17" s="116">
        <v>32450</v>
      </c>
      <c r="D17" s="116">
        <v>13444</v>
      </c>
      <c r="E17" s="117">
        <f t="shared" si="10"/>
        <v>6902150</v>
      </c>
      <c r="F17" s="118">
        <f t="shared" si="11"/>
        <v>2285.48</v>
      </c>
      <c r="G17" s="116">
        <v>6273</v>
      </c>
      <c r="H17" s="117">
        <f t="shared" si="12"/>
        <v>948280</v>
      </c>
      <c r="I17" s="116">
        <f t="shared" si="13"/>
        <v>314</v>
      </c>
      <c r="J17" s="116">
        <v>4141</v>
      </c>
      <c r="K17" s="117">
        <f t="shared" si="14"/>
        <v>18760240</v>
      </c>
      <c r="L17" s="116">
        <f t="shared" si="15"/>
        <v>6212</v>
      </c>
      <c r="M17" s="116">
        <v>1140</v>
      </c>
      <c r="N17" s="117">
        <f t="shared" si="16"/>
        <v>2065680</v>
      </c>
      <c r="O17" s="116">
        <f t="shared" si="17"/>
        <v>684</v>
      </c>
      <c r="P17" s="116">
        <f t="shared" si="18"/>
        <v>0</v>
      </c>
      <c r="Q17" s="119">
        <f t="shared" si="19"/>
        <v>0</v>
      </c>
      <c r="R17" s="117">
        <f t="shared" si="20"/>
        <v>0</v>
      </c>
      <c r="S17" s="116">
        <f t="shared" si="21"/>
        <v>0</v>
      </c>
      <c r="T17" s="116">
        <f t="shared" si="22"/>
        <v>9495.48</v>
      </c>
      <c r="U17" s="116">
        <f t="shared" si="23"/>
        <v>41945.479999999996</v>
      </c>
      <c r="V17" s="117">
        <f t="shared" si="24"/>
        <v>3020</v>
      </c>
      <c r="W17" s="117">
        <f t="shared" si="25"/>
        <v>126675350</v>
      </c>
      <c r="X17" s="121">
        <f>'Tables 6-8 Local Wealth'!M17</f>
        <v>1.24769061</v>
      </c>
      <c r="Y17" s="121">
        <f t="shared" si="26"/>
        <v>0.04223594</v>
      </c>
      <c r="Z17" s="121">
        <f t="shared" si="27"/>
        <v>0.05269739</v>
      </c>
      <c r="AA17" s="117">
        <f t="shared" si="0"/>
        <v>55318078.985423505</v>
      </c>
      <c r="AB17" s="122">
        <f t="shared" si="28"/>
        <v>0.4367</v>
      </c>
      <c r="AC17" s="123">
        <f t="shared" si="29"/>
        <v>71357271.0145765</v>
      </c>
      <c r="AD17" s="122">
        <f t="shared" si="30"/>
        <v>0.5633</v>
      </c>
      <c r="AE17" s="117">
        <f>'Tables 6-8 Local Wealth'!BI17</f>
        <v>83181873</v>
      </c>
      <c r="AF17" s="117">
        <f t="shared" si="31"/>
        <v>27863794.014576495</v>
      </c>
      <c r="AG17" s="179">
        <f t="shared" si="32"/>
        <v>0</v>
      </c>
      <c r="AH17" s="117">
        <f t="shared" si="33"/>
        <v>41802866</v>
      </c>
      <c r="AI17" s="117">
        <f t="shared" si="34"/>
        <v>27863794.014576495</v>
      </c>
      <c r="AJ17" s="123">
        <f t="shared" si="35"/>
        <v>7004557.523999718</v>
      </c>
      <c r="AK17" s="122">
        <f t="shared" si="36"/>
        <v>0.251385634</v>
      </c>
      <c r="AL17" s="117">
        <f t="shared" si="37"/>
        <v>3504082.448427328</v>
      </c>
      <c r="AM17" s="117">
        <f t="shared" si="38"/>
        <v>34868351.538576216</v>
      </c>
      <c r="AN17" s="117">
        <f t="shared" si="39"/>
        <v>78361828.53857622</v>
      </c>
      <c r="AO17" s="117">
        <f t="shared" si="40"/>
        <v>2414.84834</v>
      </c>
      <c r="AP17" s="117">
        <v>79787076</v>
      </c>
      <c r="AQ17" s="162">
        <v>33080</v>
      </c>
      <c r="AR17" s="164">
        <f t="shared" si="41"/>
        <v>2411.94</v>
      </c>
      <c r="AS17" s="122">
        <f t="shared" si="1"/>
        <v>0.9987956427938659</v>
      </c>
      <c r="AT17" s="311">
        <f t="shared" si="42"/>
        <v>0</v>
      </c>
      <c r="AU17" s="117">
        <f t="shared" si="2"/>
        <v>-1425247.367</v>
      </c>
      <c r="AV17" s="117">
        <f t="shared" si="43"/>
        <v>0</v>
      </c>
      <c r="AW17" s="116">
        <f t="shared" si="3"/>
        <v>0</v>
      </c>
      <c r="AX17" s="117">
        <f t="shared" si="44"/>
        <v>0</v>
      </c>
      <c r="AY17" s="117">
        <f t="shared" si="4"/>
        <v>78267453</v>
      </c>
      <c r="AZ17" s="117">
        <f t="shared" si="45"/>
        <v>78361828.633</v>
      </c>
      <c r="BA17" s="117">
        <f t="shared" si="46"/>
        <v>78361828.633</v>
      </c>
      <c r="BB17" s="117">
        <f t="shared" si="5"/>
        <v>2414.85</v>
      </c>
      <c r="BC17" s="122">
        <f t="shared" si="6"/>
        <v>1.0000006874137695</v>
      </c>
      <c r="BD17" s="122">
        <f t="shared" si="47"/>
        <v>0.49</v>
      </c>
      <c r="BE17" s="117">
        <f t="shared" si="7"/>
        <v>83181873</v>
      </c>
      <c r="BF17" s="117">
        <f t="shared" si="8"/>
        <v>2563.39</v>
      </c>
      <c r="BG17" s="122">
        <f t="shared" si="48"/>
        <v>0.5149</v>
      </c>
      <c r="BH17" s="117">
        <f t="shared" si="49"/>
        <v>161543701.63</v>
      </c>
      <c r="BI17" s="117">
        <f t="shared" si="9"/>
        <v>4978.23</v>
      </c>
      <c r="BJ17" s="116">
        <v>33565</v>
      </c>
      <c r="BK17" s="124">
        <v>10</v>
      </c>
      <c r="BL17" s="116" t="s">
        <v>16</v>
      </c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1:164" s="7" customFormat="1" ht="12.75">
      <c r="A18" s="76">
        <v>11</v>
      </c>
      <c r="B18" s="77" t="s">
        <v>17</v>
      </c>
      <c r="C18" s="77">
        <v>1849</v>
      </c>
      <c r="D18" s="77">
        <v>1155</v>
      </c>
      <c r="E18" s="78">
        <f t="shared" si="10"/>
        <v>592977</v>
      </c>
      <c r="F18" s="79">
        <f t="shared" si="11"/>
        <v>196.35</v>
      </c>
      <c r="G18" s="77">
        <v>730</v>
      </c>
      <c r="H18" s="78">
        <f t="shared" si="12"/>
        <v>111740</v>
      </c>
      <c r="I18" s="77">
        <f t="shared" si="13"/>
        <v>37</v>
      </c>
      <c r="J18" s="77">
        <v>183</v>
      </c>
      <c r="K18" s="78">
        <f t="shared" si="14"/>
        <v>830500</v>
      </c>
      <c r="L18" s="77">
        <f t="shared" si="15"/>
        <v>275</v>
      </c>
      <c r="M18" s="77">
        <v>32</v>
      </c>
      <c r="N18" s="78">
        <f t="shared" si="16"/>
        <v>57380</v>
      </c>
      <c r="O18" s="77">
        <f t="shared" si="17"/>
        <v>19</v>
      </c>
      <c r="P18" s="77">
        <f t="shared" si="18"/>
        <v>5651</v>
      </c>
      <c r="Q18" s="74">
        <f t="shared" si="19"/>
        <v>0.15069</v>
      </c>
      <c r="R18" s="78">
        <f t="shared" si="20"/>
        <v>842580</v>
      </c>
      <c r="S18" s="77">
        <f t="shared" si="21"/>
        <v>279</v>
      </c>
      <c r="T18" s="77">
        <f t="shared" si="22"/>
        <v>806.35</v>
      </c>
      <c r="U18" s="77">
        <f t="shared" si="23"/>
        <v>2655.35</v>
      </c>
      <c r="V18" s="78">
        <f t="shared" si="24"/>
        <v>3020</v>
      </c>
      <c r="W18" s="78">
        <f t="shared" si="25"/>
        <v>8019157</v>
      </c>
      <c r="X18" s="81">
        <f>'Tables 6-8 Local Wealth'!M18</f>
        <v>0.491339</v>
      </c>
      <c r="Y18" s="81">
        <f t="shared" si="26"/>
        <v>0.00267374</v>
      </c>
      <c r="Z18" s="81">
        <f t="shared" si="27"/>
        <v>0.00131371</v>
      </c>
      <c r="AA18" s="78">
        <f t="shared" si="0"/>
        <v>1379041.989440857</v>
      </c>
      <c r="AB18" s="82">
        <f t="shared" si="28"/>
        <v>0.172</v>
      </c>
      <c r="AC18" s="83">
        <f t="shared" si="29"/>
        <v>6640115.0105591435</v>
      </c>
      <c r="AD18" s="82">
        <f t="shared" si="30"/>
        <v>0.828</v>
      </c>
      <c r="AE18" s="78">
        <f>'Tables 6-8 Local Wealth'!BI18</f>
        <v>2363230</v>
      </c>
      <c r="AF18" s="78">
        <f t="shared" si="31"/>
        <v>984188.010559143</v>
      </c>
      <c r="AG18" s="86">
        <f t="shared" si="32"/>
        <v>0</v>
      </c>
      <c r="AH18" s="78">
        <f t="shared" si="33"/>
        <v>2646322</v>
      </c>
      <c r="AI18" s="78">
        <f t="shared" si="34"/>
        <v>984188.010559143</v>
      </c>
      <c r="AJ18" s="83">
        <f t="shared" si="35"/>
        <v>694046.0388070719</v>
      </c>
      <c r="AK18" s="82">
        <f t="shared" si="36"/>
        <v>0.7051966000000001</v>
      </c>
      <c r="AL18" s="78">
        <f t="shared" si="37"/>
        <v>1172131.2380981282</v>
      </c>
      <c r="AM18" s="78">
        <f t="shared" si="38"/>
        <v>1678234.0493662148</v>
      </c>
      <c r="AN18" s="78">
        <f t="shared" si="39"/>
        <v>7334161.049366215</v>
      </c>
      <c r="AO18" s="78">
        <f t="shared" si="40"/>
        <v>3966.55546</v>
      </c>
      <c r="AP18" s="78">
        <v>6967616</v>
      </c>
      <c r="AQ18" s="73">
        <v>1951</v>
      </c>
      <c r="AR18" s="163">
        <f t="shared" si="41"/>
        <v>3571.3</v>
      </c>
      <c r="AS18" s="82">
        <f t="shared" si="1"/>
        <v>0.9003529727528379</v>
      </c>
      <c r="AT18" s="310">
        <f t="shared" si="42"/>
        <v>366545.04936621524</v>
      </c>
      <c r="AU18" s="78">
        <f t="shared" si="2"/>
        <v>366545.0455</v>
      </c>
      <c r="AV18" s="78">
        <f t="shared" si="43"/>
        <v>0</v>
      </c>
      <c r="AW18" s="77">
        <f t="shared" si="3"/>
        <v>0</v>
      </c>
      <c r="AX18" s="78">
        <f t="shared" si="44"/>
        <v>0</v>
      </c>
      <c r="AY18" s="78">
        <f t="shared" si="4"/>
        <v>6603333.7</v>
      </c>
      <c r="AZ18" s="78">
        <f t="shared" si="45"/>
        <v>7334161.0455</v>
      </c>
      <c r="BA18" s="78">
        <f t="shared" si="46"/>
        <v>7334161.0455</v>
      </c>
      <c r="BB18" s="78">
        <f t="shared" si="5"/>
        <v>3966.56</v>
      </c>
      <c r="BC18" s="82">
        <f t="shared" si="6"/>
        <v>1.0000011445699035</v>
      </c>
      <c r="BD18" s="82">
        <f t="shared" si="47"/>
        <v>0.76</v>
      </c>
      <c r="BE18" s="78">
        <f t="shared" si="7"/>
        <v>2363230</v>
      </c>
      <c r="BF18" s="78">
        <f t="shared" si="8"/>
        <v>1278.11</v>
      </c>
      <c r="BG18" s="82">
        <f t="shared" si="48"/>
        <v>0.2437</v>
      </c>
      <c r="BH18" s="78">
        <f t="shared" si="49"/>
        <v>9697391.05</v>
      </c>
      <c r="BI18" s="78">
        <f t="shared" si="9"/>
        <v>5244.67</v>
      </c>
      <c r="BJ18" s="77">
        <v>1982</v>
      </c>
      <c r="BK18" s="7">
        <v>11</v>
      </c>
      <c r="BL18" s="77" t="s">
        <v>17</v>
      </c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</row>
    <row r="19" spans="1:164" s="7" customFormat="1" ht="12.75">
      <c r="A19" s="76">
        <v>12</v>
      </c>
      <c r="B19" s="77" t="s">
        <v>18</v>
      </c>
      <c r="C19" s="77">
        <v>1982</v>
      </c>
      <c r="D19" s="77">
        <v>789</v>
      </c>
      <c r="E19" s="78">
        <f t="shared" si="10"/>
        <v>405073</v>
      </c>
      <c r="F19" s="79">
        <f t="shared" si="11"/>
        <v>134.13</v>
      </c>
      <c r="G19" s="77">
        <v>675</v>
      </c>
      <c r="H19" s="78">
        <f t="shared" si="12"/>
        <v>102680</v>
      </c>
      <c r="I19" s="77">
        <f t="shared" si="13"/>
        <v>34</v>
      </c>
      <c r="J19" s="77">
        <v>264</v>
      </c>
      <c r="K19" s="78">
        <f t="shared" si="14"/>
        <v>1195920</v>
      </c>
      <c r="L19" s="77">
        <f t="shared" si="15"/>
        <v>396</v>
      </c>
      <c r="M19" s="77">
        <v>141</v>
      </c>
      <c r="N19" s="78">
        <f t="shared" si="16"/>
        <v>256700</v>
      </c>
      <c r="O19" s="77">
        <f t="shared" si="17"/>
        <v>85</v>
      </c>
      <c r="P19" s="77">
        <f t="shared" si="18"/>
        <v>5518</v>
      </c>
      <c r="Q19" s="74">
        <f t="shared" si="19"/>
        <v>0.14715</v>
      </c>
      <c r="R19" s="78">
        <f t="shared" si="20"/>
        <v>881840</v>
      </c>
      <c r="S19" s="77">
        <f t="shared" si="21"/>
        <v>292</v>
      </c>
      <c r="T19" s="77">
        <f t="shared" si="22"/>
        <v>941.13</v>
      </c>
      <c r="U19" s="77">
        <f t="shared" si="23"/>
        <v>2923.13</v>
      </c>
      <c r="V19" s="78">
        <f t="shared" si="24"/>
        <v>3020</v>
      </c>
      <c r="W19" s="78">
        <f t="shared" si="25"/>
        <v>8827853</v>
      </c>
      <c r="X19" s="81">
        <f>'Tables 6-8 Local Wealth'!M19</f>
        <v>1.26053322</v>
      </c>
      <c r="Y19" s="81">
        <f t="shared" si="26"/>
        <v>0.00294337</v>
      </c>
      <c r="Z19" s="81">
        <f t="shared" si="27"/>
        <v>0.00371022</v>
      </c>
      <c r="AA19" s="78">
        <f t="shared" si="0"/>
        <v>3894732.6046564737</v>
      </c>
      <c r="AB19" s="82">
        <f t="shared" si="28"/>
        <v>0.4412</v>
      </c>
      <c r="AC19" s="83">
        <f t="shared" si="29"/>
        <v>4933120.395343526</v>
      </c>
      <c r="AD19" s="82">
        <f t="shared" si="30"/>
        <v>0.5588</v>
      </c>
      <c r="AE19" s="78">
        <f>'Tables 6-8 Local Wealth'!BI19</f>
        <v>6173760</v>
      </c>
      <c r="AF19" s="78">
        <f t="shared" si="31"/>
        <v>2279027.3953435263</v>
      </c>
      <c r="AG19" s="86">
        <f t="shared" si="32"/>
        <v>0</v>
      </c>
      <c r="AH19" s="78">
        <f t="shared" si="33"/>
        <v>2913191</v>
      </c>
      <c r="AI19" s="78">
        <f t="shared" si="34"/>
        <v>2279027.3953435263</v>
      </c>
      <c r="AJ19" s="83">
        <f t="shared" si="35"/>
        <v>555353.5506711736</v>
      </c>
      <c r="AK19" s="82">
        <f t="shared" si="36"/>
        <v>0.2436800680000001</v>
      </c>
      <c r="AL19" s="78">
        <f t="shared" si="37"/>
        <v>154533.03030581458</v>
      </c>
      <c r="AM19" s="78">
        <f t="shared" si="38"/>
        <v>2834380.9460147</v>
      </c>
      <c r="AN19" s="78">
        <f t="shared" si="39"/>
        <v>5488473.9460146995</v>
      </c>
      <c r="AO19" s="78">
        <f t="shared" si="40"/>
        <v>2769.15941</v>
      </c>
      <c r="AP19" s="78">
        <v>5255316</v>
      </c>
      <c r="AQ19" s="73">
        <v>2071</v>
      </c>
      <c r="AR19" s="163">
        <f t="shared" si="41"/>
        <v>2537.57</v>
      </c>
      <c r="AS19" s="82">
        <f t="shared" si="1"/>
        <v>0.916368335761501</v>
      </c>
      <c r="AT19" s="310">
        <f t="shared" si="42"/>
        <v>233157.94601469953</v>
      </c>
      <c r="AU19" s="78">
        <f t="shared" si="2"/>
        <v>233157.9506</v>
      </c>
      <c r="AV19" s="78">
        <f t="shared" si="43"/>
        <v>0</v>
      </c>
      <c r="AW19" s="77">
        <f t="shared" si="3"/>
        <v>0</v>
      </c>
      <c r="AX19" s="78">
        <f t="shared" si="44"/>
        <v>0</v>
      </c>
      <c r="AY19" s="78">
        <f t="shared" si="4"/>
        <v>5029463.74</v>
      </c>
      <c r="AZ19" s="78">
        <f t="shared" si="45"/>
        <v>5488473.9506</v>
      </c>
      <c r="BA19" s="78">
        <f t="shared" si="46"/>
        <v>5488473.9506</v>
      </c>
      <c r="BB19" s="78">
        <f t="shared" si="5"/>
        <v>2769.16</v>
      </c>
      <c r="BC19" s="82">
        <f t="shared" si="6"/>
        <v>1.0000002130610457</v>
      </c>
      <c r="BD19" s="82">
        <f t="shared" si="47"/>
        <v>0.47</v>
      </c>
      <c r="BE19" s="78">
        <f t="shared" si="7"/>
        <v>6173760</v>
      </c>
      <c r="BF19" s="78">
        <f t="shared" si="8"/>
        <v>3114.91</v>
      </c>
      <c r="BG19" s="82">
        <f t="shared" si="48"/>
        <v>0.5294</v>
      </c>
      <c r="BH19" s="78">
        <f t="shared" si="49"/>
        <v>11662233.95</v>
      </c>
      <c r="BI19" s="78">
        <f t="shared" si="9"/>
        <v>5884.07</v>
      </c>
      <c r="BJ19" s="77">
        <v>2160</v>
      </c>
      <c r="BK19" s="7">
        <v>12</v>
      </c>
      <c r="BL19" s="77" t="s">
        <v>18</v>
      </c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1:164" s="7" customFormat="1" ht="12.75">
      <c r="A20" s="76">
        <v>13</v>
      </c>
      <c r="B20" s="77" t="s">
        <v>19</v>
      </c>
      <c r="C20" s="77">
        <v>1953</v>
      </c>
      <c r="D20" s="77">
        <v>1187</v>
      </c>
      <c r="E20" s="78">
        <f t="shared" si="10"/>
        <v>609406</v>
      </c>
      <c r="F20" s="79">
        <f t="shared" si="11"/>
        <v>201.79</v>
      </c>
      <c r="G20" s="77">
        <v>834</v>
      </c>
      <c r="H20" s="78">
        <f t="shared" si="12"/>
        <v>126840</v>
      </c>
      <c r="I20" s="77">
        <f t="shared" si="13"/>
        <v>42</v>
      </c>
      <c r="J20" s="77">
        <v>188</v>
      </c>
      <c r="K20" s="78">
        <f t="shared" si="14"/>
        <v>851640</v>
      </c>
      <c r="L20" s="77">
        <f t="shared" si="15"/>
        <v>282</v>
      </c>
      <c r="M20" s="77">
        <v>42</v>
      </c>
      <c r="N20" s="78">
        <f t="shared" si="16"/>
        <v>75500</v>
      </c>
      <c r="O20" s="77">
        <f t="shared" si="17"/>
        <v>25</v>
      </c>
      <c r="P20" s="77">
        <f t="shared" si="18"/>
        <v>5547</v>
      </c>
      <c r="Q20" s="74">
        <f t="shared" si="19"/>
        <v>0.14792</v>
      </c>
      <c r="R20" s="78">
        <f t="shared" si="20"/>
        <v>872780</v>
      </c>
      <c r="S20" s="77">
        <f t="shared" si="21"/>
        <v>289</v>
      </c>
      <c r="T20" s="77">
        <f t="shared" si="22"/>
        <v>839.79</v>
      </c>
      <c r="U20" s="77">
        <f t="shared" si="23"/>
        <v>2792.79</v>
      </c>
      <c r="V20" s="78">
        <f t="shared" si="24"/>
        <v>3020</v>
      </c>
      <c r="W20" s="78">
        <f t="shared" si="25"/>
        <v>8434226</v>
      </c>
      <c r="X20" s="81">
        <f>'Tables 6-8 Local Wealth'!M20</f>
        <v>0.5383821</v>
      </c>
      <c r="Y20" s="81">
        <f t="shared" si="26"/>
        <v>0.00281213</v>
      </c>
      <c r="Z20" s="81">
        <f t="shared" si="27"/>
        <v>0.001514</v>
      </c>
      <c r="AA20" s="78">
        <f t="shared" si="0"/>
        <v>1589292.5927437998</v>
      </c>
      <c r="AB20" s="82">
        <f t="shared" si="28"/>
        <v>0.1884</v>
      </c>
      <c r="AC20" s="83">
        <f t="shared" si="29"/>
        <v>6844933.4072562</v>
      </c>
      <c r="AD20" s="82">
        <f t="shared" si="30"/>
        <v>0.8116</v>
      </c>
      <c r="AE20" s="78">
        <f>'Tables 6-8 Local Wealth'!BI20</f>
        <v>2500153</v>
      </c>
      <c r="AF20" s="78">
        <f t="shared" si="31"/>
        <v>910860.4072562002</v>
      </c>
      <c r="AG20" s="86">
        <f t="shared" si="32"/>
        <v>0</v>
      </c>
      <c r="AH20" s="78">
        <f t="shared" si="33"/>
        <v>2783295</v>
      </c>
      <c r="AI20" s="78">
        <f t="shared" si="34"/>
        <v>910860.4072562002</v>
      </c>
      <c r="AJ20" s="83">
        <f t="shared" si="35"/>
        <v>616625.8439369312</v>
      </c>
      <c r="AK20" s="82">
        <f t="shared" si="36"/>
        <v>0.67697074</v>
      </c>
      <c r="AL20" s="78">
        <f t="shared" si="37"/>
        <v>1267583.4318513689</v>
      </c>
      <c r="AM20" s="78">
        <f t="shared" si="38"/>
        <v>1527486.2511931313</v>
      </c>
      <c r="AN20" s="78">
        <f t="shared" si="39"/>
        <v>7461559.251193131</v>
      </c>
      <c r="AO20" s="78">
        <f t="shared" si="40"/>
        <v>3820.56285</v>
      </c>
      <c r="AP20" s="78">
        <v>7401727</v>
      </c>
      <c r="AQ20" s="73">
        <v>2040</v>
      </c>
      <c r="AR20" s="163">
        <f t="shared" si="41"/>
        <v>3628.3</v>
      </c>
      <c r="AS20" s="82">
        <f t="shared" si="1"/>
        <v>0.9496768257588015</v>
      </c>
      <c r="AT20" s="310">
        <f t="shared" si="42"/>
        <v>59832.25119313132</v>
      </c>
      <c r="AU20" s="78">
        <f t="shared" si="2"/>
        <v>59832.2461</v>
      </c>
      <c r="AV20" s="78">
        <f t="shared" si="43"/>
        <v>0</v>
      </c>
      <c r="AW20" s="77">
        <f t="shared" si="3"/>
        <v>0</v>
      </c>
      <c r="AX20" s="78">
        <f t="shared" si="44"/>
        <v>0</v>
      </c>
      <c r="AY20" s="78">
        <f t="shared" si="4"/>
        <v>7086069.9</v>
      </c>
      <c r="AZ20" s="78">
        <f t="shared" si="45"/>
        <v>7461559.2461</v>
      </c>
      <c r="BA20" s="78">
        <f t="shared" si="46"/>
        <v>7461559.2461</v>
      </c>
      <c r="BB20" s="78">
        <f t="shared" si="5"/>
        <v>3820.56</v>
      </c>
      <c r="BC20" s="82">
        <f t="shared" si="6"/>
        <v>0.999999254036614</v>
      </c>
      <c r="BD20" s="82">
        <f t="shared" si="47"/>
        <v>0.75</v>
      </c>
      <c r="BE20" s="78">
        <f t="shared" si="7"/>
        <v>2500153</v>
      </c>
      <c r="BF20" s="78">
        <f t="shared" si="8"/>
        <v>1280.16</v>
      </c>
      <c r="BG20" s="82">
        <f t="shared" si="48"/>
        <v>0.251</v>
      </c>
      <c r="BH20" s="78">
        <f t="shared" si="49"/>
        <v>9961712.25</v>
      </c>
      <c r="BI20" s="78">
        <f t="shared" si="9"/>
        <v>5100.72</v>
      </c>
      <c r="BJ20" s="77">
        <v>2134</v>
      </c>
      <c r="BK20" s="7">
        <v>13</v>
      </c>
      <c r="BL20" s="77" t="s">
        <v>19</v>
      </c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</row>
    <row r="21" spans="1:164" s="7" customFormat="1" ht="12.75">
      <c r="A21" s="76">
        <v>14</v>
      </c>
      <c r="B21" s="77" t="s">
        <v>20</v>
      </c>
      <c r="C21" s="77">
        <v>2813</v>
      </c>
      <c r="D21" s="77">
        <v>2028</v>
      </c>
      <c r="E21" s="78">
        <f t="shared" si="10"/>
        <v>1041175</v>
      </c>
      <c r="F21" s="79">
        <f t="shared" si="11"/>
        <v>344.76</v>
      </c>
      <c r="G21" s="77">
        <v>798</v>
      </c>
      <c r="H21" s="78">
        <f t="shared" si="12"/>
        <v>120800</v>
      </c>
      <c r="I21" s="77">
        <f t="shared" si="13"/>
        <v>40</v>
      </c>
      <c r="J21" s="77">
        <v>391</v>
      </c>
      <c r="K21" s="78">
        <f t="shared" si="14"/>
        <v>1772740</v>
      </c>
      <c r="L21" s="77">
        <f t="shared" si="15"/>
        <v>587</v>
      </c>
      <c r="M21" s="77">
        <v>176</v>
      </c>
      <c r="N21" s="78">
        <f t="shared" si="16"/>
        <v>320120</v>
      </c>
      <c r="O21" s="77">
        <f t="shared" si="17"/>
        <v>106</v>
      </c>
      <c r="P21" s="77">
        <f t="shared" si="18"/>
        <v>4687</v>
      </c>
      <c r="Q21" s="74">
        <f t="shared" si="19"/>
        <v>0.12499</v>
      </c>
      <c r="R21" s="78">
        <f t="shared" si="20"/>
        <v>1063040</v>
      </c>
      <c r="S21" s="77">
        <f t="shared" si="21"/>
        <v>352</v>
      </c>
      <c r="T21" s="77">
        <f t="shared" si="22"/>
        <v>1429.76</v>
      </c>
      <c r="U21" s="77">
        <f t="shared" si="23"/>
        <v>4242.76</v>
      </c>
      <c r="V21" s="78">
        <f t="shared" si="24"/>
        <v>3020</v>
      </c>
      <c r="W21" s="78">
        <f t="shared" si="25"/>
        <v>12813135</v>
      </c>
      <c r="X21" s="81">
        <f>'Tables 6-8 Local Wealth'!M21</f>
        <v>0.69352611</v>
      </c>
      <c r="Y21" s="81">
        <f t="shared" si="26"/>
        <v>0.00427214</v>
      </c>
      <c r="Z21" s="81">
        <f t="shared" si="27"/>
        <v>0.00296284</v>
      </c>
      <c r="AA21" s="78">
        <f t="shared" si="0"/>
        <v>3110184.7196070277</v>
      </c>
      <c r="AB21" s="82">
        <f t="shared" si="28"/>
        <v>0.2427</v>
      </c>
      <c r="AC21" s="83">
        <f t="shared" si="29"/>
        <v>9702950.280392973</v>
      </c>
      <c r="AD21" s="82">
        <f t="shared" si="30"/>
        <v>0.7573</v>
      </c>
      <c r="AE21" s="78">
        <f>'Tables 6-8 Local Wealth'!BI21</f>
        <v>4310296</v>
      </c>
      <c r="AF21" s="78">
        <f t="shared" si="31"/>
        <v>1200111.2803929723</v>
      </c>
      <c r="AG21" s="86">
        <f t="shared" si="32"/>
        <v>0</v>
      </c>
      <c r="AH21" s="78">
        <f t="shared" si="33"/>
        <v>4228335</v>
      </c>
      <c r="AI21" s="78">
        <f t="shared" si="34"/>
        <v>1200111.2803929723</v>
      </c>
      <c r="AJ21" s="83">
        <f t="shared" si="35"/>
        <v>700726.1756781378</v>
      </c>
      <c r="AK21" s="82">
        <f t="shared" si="36"/>
        <v>0.583884334</v>
      </c>
      <c r="AL21" s="78">
        <f t="shared" si="37"/>
        <v>1768132.3897257522</v>
      </c>
      <c r="AM21" s="78">
        <f t="shared" si="38"/>
        <v>1900837.45607111</v>
      </c>
      <c r="AN21" s="78">
        <f t="shared" si="39"/>
        <v>10403676.45607111</v>
      </c>
      <c r="AO21" s="78">
        <f t="shared" si="40"/>
        <v>3698.42746</v>
      </c>
      <c r="AP21" s="78">
        <v>9399776</v>
      </c>
      <c r="AQ21" s="73">
        <v>2887</v>
      </c>
      <c r="AR21" s="163">
        <f t="shared" si="41"/>
        <v>3255.9</v>
      </c>
      <c r="AS21" s="82">
        <f t="shared" si="1"/>
        <v>0.880347130020498</v>
      </c>
      <c r="AT21" s="310">
        <f t="shared" si="42"/>
        <v>1003900.4560711104</v>
      </c>
      <c r="AU21" s="78">
        <f t="shared" si="2"/>
        <v>1003900.445</v>
      </c>
      <c r="AV21" s="78">
        <f t="shared" si="43"/>
        <v>0</v>
      </c>
      <c r="AW21" s="77">
        <f t="shared" si="3"/>
        <v>0</v>
      </c>
      <c r="AX21" s="78">
        <f t="shared" si="44"/>
        <v>0</v>
      </c>
      <c r="AY21" s="78">
        <f t="shared" si="4"/>
        <v>9158846.700000001</v>
      </c>
      <c r="AZ21" s="78">
        <f t="shared" si="45"/>
        <v>10403676.445</v>
      </c>
      <c r="BA21" s="78">
        <f t="shared" si="46"/>
        <v>10403676.445</v>
      </c>
      <c r="BB21" s="78">
        <f t="shared" si="5"/>
        <v>3698.43</v>
      </c>
      <c r="BC21" s="82">
        <f t="shared" si="6"/>
        <v>1.0000006867783746</v>
      </c>
      <c r="BD21" s="82">
        <f t="shared" si="47"/>
        <v>0.71</v>
      </c>
      <c r="BE21" s="78">
        <f t="shared" si="7"/>
        <v>4310296</v>
      </c>
      <c r="BF21" s="78">
        <f t="shared" si="8"/>
        <v>1532.28</v>
      </c>
      <c r="BG21" s="82">
        <f t="shared" si="48"/>
        <v>0.2929</v>
      </c>
      <c r="BH21" s="78">
        <f t="shared" si="49"/>
        <v>14713972.45</v>
      </c>
      <c r="BI21" s="78">
        <f t="shared" si="9"/>
        <v>5230.7</v>
      </c>
      <c r="BJ21" s="77">
        <v>2945</v>
      </c>
      <c r="BK21" s="7">
        <v>14</v>
      </c>
      <c r="BL21" s="77" t="s">
        <v>20</v>
      </c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1:164" s="124" customFormat="1" ht="12.75">
      <c r="A22" s="115">
        <v>15</v>
      </c>
      <c r="B22" s="116" t="s">
        <v>21</v>
      </c>
      <c r="C22" s="116">
        <v>3934</v>
      </c>
      <c r="D22" s="116">
        <v>2816</v>
      </c>
      <c r="E22" s="117">
        <f t="shared" si="10"/>
        <v>1445734</v>
      </c>
      <c r="F22" s="118">
        <f t="shared" si="11"/>
        <v>478.72</v>
      </c>
      <c r="G22" s="116">
        <v>1435</v>
      </c>
      <c r="H22" s="117">
        <f t="shared" si="12"/>
        <v>217440</v>
      </c>
      <c r="I22" s="116">
        <f t="shared" si="13"/>
        <v>72</v>
      </c>
      <c r="J22" s="116">
        <v>384</v>
      </c>
      <c r="K22" s="117">
        <f t="shared" si="14"/>
        <v>1739520</v>
      </c>
      <c r="L22" s="116">
        <f t="shared" si="15"/>
        <v>576</v>
      </c>
      <c r="M22" s="116">
        <v>60</v>
      </c>
      <c r="N22" s="117">
        <f t="shared" si="16"/>
        <v>108720</v>
      </c>
      <c r="O22" s="116">
        <f t="shared" si="17"/>
        <v>36</v>
      </c>
      <c r="P22" s="116">
        <f t="shared" si="18"/>
        <v>3566</v>
      </c>
      <c r="Q22" s="119">
        <f t="shared" si="19"/>
        <v>0.09509</v>
      </c>
      <c r="R22" s="117">
        <f t="shared" si="20"/>
        <v>1129480</v>
      </c>
      <c r="S22" s="116">
        <f t="shared" si="21"/>
        <v>374</v>
      </c>
      <c r="T22" s="116">
        <f t="shared" si="22"/>
        <v>1536.72</v>
      </c>
      <c r="U22" s="116">
        <f t="shared" si="23"/>
        <v>5470.72</v>
      </c>
      <c r="V22" s="117">
        <f t="shared" si="24"/>
        <v>3020</v>
      </c>
      <c r="W22" s="117">
        <f t="shared" si="25"/>
        <v>16521574</v>
      </c>
      <c r="X22" s="121">
        <f>'Tables 6-8 Local Wealth'!M22</f>
        <v>0.61264366</v>
      </c>
      <c r="Y22" s="121">
        <f t="shared" si="26"/>
        <v>0.0055086</v>
      </c>
      <c r="Z22" s="121">
        <f t="shared" si="27"/>
        <v>0.00337481</v>
      </c>
      <c r="AA22" s="117">
        <f t="shared" si="0"/>
        <v>3542642.361240227</v>
      </c>
      <c r="AB22" s="122">
        <f t="shared" si="28"/>
        <v>0.2144</v>
      </c>
      <c r="AC22" s="123">
        <f t="shared" si="29"/>
        <v>12978931.638759773</v>
      </c>
      <c r="AD22" s="122">
        <f t="shared" si="30"/>
        <v>0.7856</v>
      </c>
      <c r="AE22" s="117">
        <f>'Tables 6-8 Local Wealth'!BI22</f>
        <v>4804712</v>
      </c>
      <c r="AF22" s="117">
        <f t="shared" si="31"/>
        <v>1262069.6387597732</v>
      </c>
      <c r="AG22" s="179">
        <f t="shared" si="32"/>
        <v>0</v>
      </c>
      <c r="AH22" s="117">
        <f t="shared" si="33"/>
        <v>5452119</v>
      </c>
      <c r="AI22" s="117">
        <f t="shared" si="34"/>
        <v>1262069.6387597732</v>
      </c>
      <c r="AJ22" s="123">
        <f t="shared" si="35"/>
        <v>798150.261160974</v>
      </c>
      <c r="AK22" s="122">
        <f t="shared" si="36"/>
        <v>0.632413804</v>
      </c>
      <c r="AL22" s="117">
        <f t="shared" si="37"/>
        <v>2649845.055489702</v>
      </c>
      <c r="AM22" s="117">
        <f t="shared" si="38"/>
        <v>2060219.8999207471</v>
      </c>
      <c r="AN22" s="117">
        <f t="shared" si="39"/>
        <v>13777081.899920747</v>
      </c>
      <c r="AO22" s="117">
        <f t="shared" si="40"/>
        <v>3502.05437</v>
      </c>
      <c r="AP22" s="117">
        <v>13545531</v>
      </c>
      <c r="AQ22" s="162">
        <v>4049</v>
      </c>
      <c r="AR22" s="164">
        <f t="shared" si="41"/>
        <v>3345.4</v>
      </c>
      <c r="AS22" s="122">
        <f t="shared" si="1"/>
        <v>0.9552678646733861</v>
      </c>
      <c r="AT22" s="311">
        <f t="shared" si="42"/>
        <v>231550.89992074668</v>
      </c>
      <c r="AU22" s="117">
        <f t="shared" si="2"/>
        <v>231550.8916</v>
      </c>
      <c r="AV22" s="117">
        <f t="shared" si="43"/>
        <v>0</v>
      </c>
      <c r="AW22" s="116">
        <f t="shared" si="3"/>
        <v>0</v>
      </c>
      <c r="AX22" s="117">
        <f t="shared" si="44"/>
        <v>0</v>
      </c>
      <c r="AY22" s="117">
        <f t="shared" si="4"/>
        <v>13160803.6</v>
      </c>
      <c r="AZ22" s="117">
        <f t="shared" si="45"/>
        <v>13777081.8916</v>
      </c>
      <c r="BA22" s="117">
        <f t="shared" si="46"/>
        <v>13777081.8916</v>
      </c>
      <c r="BB22" s="117">
        <f t="shared" si="5"/>
        <v>3502.05</v>
      </c>
      <c r="BC22" s="122">
        <f t="shared" si="6"/>
        <v>0.9999987521610066</v>
      </c>
      <c r="BD22" s="122">
        <f t="shared" si="47"/>
        <v>0.74</v>
      </c>
      <c r="BE22" s="117">
        <f t="shared" si="7"/>
        <v>4804712</v>
      </c>
      <c r="BF22" s="117">
        <f t="shared" si="8"/>
        <v>1221.33</v>
      </c>
      <c r="BG22" s="122">
        <f t="shared" si="48"/>
        <v>0.2586</v>
      </c>
      <c r="BH22" s="117">
        <f t="shared" si="49"/>
        <v>18581793.89</v>
      </c>
      <c r="BI22" s="117">
        <f t="shared" si="9"/>
        <v>4723.38</v>
      </c>
      <c r="BJ22" s="116">
        <v>4301</v>
      </c>
      <c r="BK22" s="124">
        <v>15</v>
      </c>
      <c r="BL22" s="116" t="s">
        <v>21</v>
      </c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</row>
    <row r="23" spans="1:164" s="7" customFormat="1" ht="12.75">
      <c r="A23" s="76">
        <v>16</v>
      </c>
      <c r="B23" s="77" t="s">
        <v>22</v>
      </c>
      <c r="C23" s="77">
        <v>5095</v>
      </c>
      <c r="D23" s="77">
        <v>3308</v>
      </c>
      <c r="E23" s="78">
        <f t="shared" si="10"/>
        <v>1698327</v>
      </c>
      <c r="F23" s="79">
        <f t="shared" si="11"/>
        <v>562.36</v>
      </c>
      <c r="G23" s="77">
        <v>1982</v>
      </c>
      <c r="H23" s="78">
        <f t="shared" si="12"/>
        <v>298980</v>
      </c>
      <c r="I23" s="77">
        <f t="shared" si="13"/>
        <v>99</v>
      </c>
      <c r="J23" s="77">
        <v>652</v>
      </c>
      <c r="K23" s="78">
        <f t="shared" si="14"/>
        <v>2953560</v>
      </c>
      <c r="L23" s="77">
        <f t="shared" si="15"/>
        <v>978</v>
      </c>
      <c r="M23" s="77">
        <v>100</v>
      </c>
      <c r="N23" s="78">
        <f t="shared" si="16"/>
        <v>181200</v>
      </c>
      <c r="O23" s="77">
        <f t="shared" si="17"/>
        <v>60</v>
      </c>
      <c r="P23" s="77">
        <f t="shared" si="18"/>
        <v>2405</v>
      </c>
      <c r="Q23" s="74">
        <f t="shared" si="19"/>
        <v>0.06413</v>
      </c>
      <c r="R23" s="78">
        <f t="shared" si="20"/>
        <v>987540</v>
      </c>
      <c r="S23" s="77">
        <f t="shared" si="21"/>
        <v>327</v>
      </c>
      <c r="T23" s="77">
        <f t="shared" si="22"/>
        <v>2026.3600000000001</v>
      </c>
      <c r="U23" s="77">
        <f t="shared" si="23"/>
        <v>7121.360000000001</v>
      </c>
      <c r="V23" s="78">
        <f t="shared" si="24"/>
        <v>3020</v>
      </c>
      <c r="W23" s="78">
        <f t="shared" si="25"/>
        <v>21506507</v>
      </c>
      <c r="X23" s="81">
        <f>'Tables 6-8 Local Wealth'!M23</f>
        <v>1.05074952</v>
      </c>
      <c r="Y23" s="81">
        <f t="shared" si="26"/>
        <v>0.00717067</v>
      </c>
      <c r="Z23" s="81">
        <f t="shared" si="27"/>
        <v>0.00753458</v>
      </c>
      <c r="AA23" s="78">
        <f t="shared" si="0"/>
        <v>7909281.495003685</v>
      </c>
      <c r="AB23" s="82">
        <f t="shared" si="28"/>
        <v>0.3678</v>
      </c>
      <c r="AC23" s="83">
        <f t="shared" si="29"/>
        <v>13597225.504996315</v>
      </c>
      <c r="AD23" s="82">
        <f t="shared" si="30"/>
        <v>0.6322</v>
      </c>
      <c r="AE23" s="78">
        <f>'Tables 6-8 Local Wealth'!BI23</f>
        <v>14481265</v>
      </c>
      <c r="AF23" s="78">
        <f t="shared" si="31"/>
        <v>6571983.504996315</v>
      </c>
      <c r="AG23" s="86">
        <f t="shared" si="32"/>
        <v>0</v>
      </c>
      <c r="AH23" s="78">
        <f t="shared" si="33"/>
        <v>7097147</v>
      </c>
      <c r="AI23" s="78">
        <f t="shared" si="34"/>
        <v>6571983.504996315</v>
      </c>
      <c r="AJ23" s="83">
        <f t="shared" si="35"/>
        <v>2428678.3970026374</v>
      </c>
      <c r="AK23" s="82">
        <f t="shared" si="36"/>
        <v>0.369550288</v>
      </c>
      <c r="AL23" s="78">
        <f t="shared" si="37"/>
        <v>194074.3208256988</v>
      </c>
      <c r="AM23" s="78">
        <f t="shared" si="38"/>
        <v>9000661.901998952</v>
      </c>
      <c r="AN23" s="78">
        <f t="shared" si="39"/>
        <v>16025903.901998952</v>
      </c>
      <c r="AO23" s="78">
        <f t="shared" si="40"/>
        <v>3145.41784</v>
      </c>
      <c r="AP23" s="78">
        <v>16131454</v>
      </c>
      <c r="AQ23" s="73">
        <v>5149</v>
      </c>
      <c r="AR23" s="163">
        <f t="shared" si="41"/>
        <v>3132.93</v>
      </c>
      <c r="AS23" s="82">
        <f t="shared" si="1"/>
        <v>0.9960298311273009</v>
      </c>
      <c r="AT23" s="310">
        <f t="shared" si="42"/>
        <v>0</v>
      </c>
      <c r="AU23" s="78">
        <f t="shared" si="2"/>
        <v>-105550.1052</v>
      </c>
      <c r="AV23" s="78">
        <f t="shared" si="43"/>
        <v>0</v>
      </c>
      <c r="AW23" s="77">
        <f t="shared" si="3"/>
        <v>0</v>
      </c>
      <c r="AX23" s="78">
        <f t="shared" si="44"/>
        <v>0</v>
      </c>
      <c r="AY23" s="78">
        <f t="shared" si="4"/>
        <v>15962278.35</v>
      </c>
      <c r="AZ23" s="78">
        <f t="shared" si="45"/>
        <v>16025903.8948</v>
      </c>
      <c r="BA23" s="78">
        <f t="shared" si="46"/>
        <v>16025903.8948</v>
      </c>
      <c r="BB23" s="78">
        <f t="shared" si="5"/>
        <v>3145.42</v>
      </c>
      <c r="BC23" s="82">
        <f t="shared" si="6"/>
        <v>1.0000006867132158</v>
      </c>
      <c r="BD23" s="82">
        <f t="shared" si="47"/>
        <v>0.53</v>
      </c>
      <c r="BE23" s="78">
        <f t="shared" si="7"/>
        <v>14481265</v>
      </c>
      <c r="BF23" s="78">
        <f t="shared" si="8"/>
        <v>2842.25</v>
      </c>
      <c r="BG23" s="82">
        <f t="shared" si="48"/>
        <v>0.4747</v>
      </c>
      <c r="BH23" s="78">
        <f t="shared" si="49"/>
        <v>30507168.89</v>
      </c>
      <c r="BI23" s="78">
        <f t="shared" si="9"/>
        <v>5987.67</v>
      </c>
      <c r="BJ23" s="77">
        <v>5249</v>
      </c>
      <c r="BK23" s="7">
        <v>16</v>
      </c>
      <c r="BL23" s="77" t="s">
        <v>22</v>
      </c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1:164" s="7" customFormat="1" ht="12.75">
      <c r="A24" s="76">
        <v>17</v>
      </c>
      <c r="B24" s="77" t="s">
        <v>23</v>
      </c>
      <c r="C24" s="77">
        <v>54678</v>
      </c>
      <c r="D24" s="77">
        <v>33323</v>
      </c>
      <c r="E24" s="78">
        <f t="shared" si="10"/>
        <v>17108028</v>
      </c>
      <c r="F24" s="79">
        <f t="shared" si="11"/>
        <v>5664.91</v>
      </c>
      <c r="G24" s="77">
        <v>12429</v>
      </c>
      <c r="H24" s="78">
        <f t="shared" si="12"/>
        <v>1875420</v>
      </c>
      <c r="I24" s="77">
        <f t="shared" si="13"/>
        <v>621</v>
      </c>
      <c r="J24" s="77">
        <v>6601</v>
      </c>
      <c r="K24" s="78">
        <f t="shared" si="14"/>
        <v>29904040</v>
      </c>
      <c r="L24" s="77">
        <f t="shared" si="15"/>
        <v>9902</v>
      </c>
      <c r="M24" s="77">
        <v>1422</v>
      </c>
      <c r="N24" s="78">
        <f t="shared" si="16"/>
        <v>2576060</v>
      </c>
      <c r="O24" s="77">
        <f t="shared" si="17"/>
        <v>853</v>
      </c>
      <c r="P24" s="77">
        <f t="shared" si="18"/>
        <v>0</v>
      </c>
      <c r="Q24" s="74">
        <f t="shared" si="19"/>
        <v>0</v>
      </c>
      <c r="R24" s="78">
        <f t="shared" si="20"/>
        <v>0</v>
      </c>
      <c r="S24" s="77">
        <f t="shared" si="21"/>
        <v>0</v>
      </c>
      <c r="T24" s="77">
        <f t="shared" si="22"/>
        <v>17040.91</v>
      </c>
      <c r="U24" s="77">
        <f t="shared" si="23"/>
        <v>71718.91</v>
      </c>
      <c r="V24" s="78">
        <f t="shared" si="24"/>
        <v>3020</v>
      </c>
      <c r="W24" s="78">
        <f t="shared" si="25"/>
        <v>216591108</v>
      </c>
      <c r="X24" s="81">
        <f>'Tables 6-8 Local Wealth'!M24</f>
        <v>1.36955916</v>
      </c>
      <c r="Y24" s="81">
        <f t="shared" si="26"/>
        <v>0.07221554</v>
      </c>
      <c r="Z24" s="81">
        <f t="shared" si="27"/>
        <v>0.09890345</v>
      </c>
      <c r="AA24" s="78">
        <f t="shared" si="0"/>
        <v>103822008.24425812</v>
      </c>
      <c r="AB24" s="82">
        <f t="shared" si="28"/>
        <v>0.4793</v>
      </c>
      <c r="AC24" s="83">
        <f t="shared" si="29"/>
        <v>112769099.75574188</v>
      </c>
      <c r="AD24" s="82">
        <f t="shared" si="30"/>
        <v>0.5207</v>
      </c>
      <c r="AE24" s="78">
        <f>'Tables 6-8 Local Wealth'!BI24</f>
        <v>142096119</v>
      </c>
      <c r="AF24" s="78">
        <f t="shared" si="31"/>
        <v>38274110.75574188</v>
      </c>
      <c r="AG24" s="86">
        <f t="shared" si="32"/>
        <v>0</v>
      </c>
      <c r="AH24" s="78">
        <f t="shared" si="33"/>
        <v>71475066</v>
      </c>
      <c r="AI24" s="78">
        <f t="shared" si="34"/>
        <v>38274110.75574188</v>
      </c>
      <c r="AJ24" s="83">
        <f t="shared" si="35"/>
        <v>6822915.369913389</v>
      </c>
      <c r="AK24" s="82">
        <f t="shared" si="36"/>
        <v>0.17826450399999993</v>
      </c>
      <c r="AL24" s="78">
        <f t="shared" si="37"/>
        <v>5918551.81894387</v>
      </c>
      <c r="AM24" s="78">
        <f t="shared" si="38"/>
        <v>45097026.12565527</v>
      </c>
      <c r="AN24" s="78">
        <f t="shared" si="39"/>
        <v>119592015.12565526</v>
      </c>
      <c r="AO24" s="78">
        <f t="shared" si="40"/>
        <v>2187.20537</v>
      </c>
      <c r="AP24" s="78">
        <v>142362079</v>
      </c>
      <c r="AQ24" s="73">
        <v>55438</v>
      </c>
      <c r="AR24" s="163">
        <f t="shared" si="41"/>
        <v>2567.95</v>
      </c>
      <c r="AS24" s="82">
        <f t="shared" si="1"/>
        <v>1.1740781342357438</v>
      </c>
      <c r="AT24" s="310">
        <f t="shared" si="42"/>
        <v>0</v>
      </c>
      <c r="AU24" s="78">
        <f t="shared" si="2"/>
        <v>-1951708.9</v>
      </c>
      <c r="AV24" s="78">
        <f t="shared" si="43"/>
        <v>20818354.879099995</v>
      </c>
      <c r="AW24" s="77">
        <f t="shared" si="3"/>
        <v>54678</v>
      </c>
      <c r="AX24" s="78">
        <f t="shared" si="44"/>
        <v>380.74462999926834</v>
      </c>
      <c r="AY24" s="78">
        <f t="shared" si="4"/>
        <v>140410370.1</v>
      </c>
      <c r="AZ24" s="78">
        <f t="shared" si="45"/>
        <v>119592015.2209</v>
      </c>
      <c r="BA24" s="78">
        <f t="shared" si="46"/>
        <v>140410370.1</v>
      </c>
      <c r="BB24" s="78">
        <f t="shared" si="5"/>
        <v>2567.95</v>
      </c>
      <c r="BC24" s="82">
        <f t="shared" si="6"/>
        <v>1.1740781342357438</v>
      </c>
      <c r="BD24" s="82">
        <f t="shared" si="47"/>
        <v>0.54</v>
      </c>
      <c r="BE24" s="78">
        <f t="shared" si="7"/>
        <v>121277764.12</v>
      </c>
      <c r="BF24" s="78">
        <f t="shared" si="8"/>
        <v>2218.04</v>
      </c>
      <c r="BG24" s="82">
        <f t="shared" si="48"/>
        <v>0.4634</v>
      </c>
      <c r="BH24" s="78">
        <f t="shared" si="49"/>
        <v>261688134.22</v>
      </c>
      <c r="BI24" s="78">
        <f t="shared" si="9"/>
        <v>4785.99</v>
      </c>
      <c r="BJ24" s="77">
        <v>56126</v>
      </c>
      <c r="BK24" s="7">
        <v>17</v>
      </c>
      <c r="BL24" s="77" t="s">
        <v>23</v>
      </c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</row>
    <row r="25" spans="1:164" s="7" customFormat="1" ht="12.75">
      <c r="A25" s="76">
        <v>18</v>
      </c>
      <c r="B25" s="77" t="s">
        <v>24</v>
      </c>
      <c r="C25" s="77">
        <v>1911</v>
      </c>
      <c r="D25" s="77">
        <v>1675</v>
      </c>
      <c r="E25" s="78">
        <f t="shared" si="10"/>
        <v>859945</v>
      </c>
      <c r="F25" s="79">
        <f t="shared" si="11"/>
        <v>284.75</v>
      </c>
      <c r="G25" s="77">
        <v>553</v>
      </c>
      <c r="H25" s="78">
        <f t="shared" si="12"/>
        <v>84560</v>
      </c>
      <c r="I25" s="77">
        <f t="shared" si="13"/>
        <v>28</v>
      </c>
      <c r="J25" s="77">
        <v>155</v>
      </c>
      <c r="K25" s="78">
        <f t="shared" si="14"/>
        <v>703660</v>
      </c>
      <c r="L25" s="77">
        <f t="shared" si="15"/>
        <v>233</v>
      </c>
      <c r="M25" s="77">
        <v>3</v>
      </c>
      <c r="N25" s="78">
        <f t="shared" si="16"/>
        <v>6040</v>
      </c>
      <c r="O25" s="77">
        <f t="shared" si="17"/>
        <v>2</v>
      </c>
      <c r="P25" s="77">
        <f t="shared" si="18"/>
        <v>5589</v>
      </c>
      <c r="Q25" s="74">
        <f t="shared" si="19"/>
        <v>0.14904</v>
      </c>
      <c r="R25" s="78">
        <f t="shared" si="20"/>
        <v>860700</v>
      </c>
      <c r="S25" s="77">
        <f t="shared" si="21"/>
        <v>285</v>
      </c>
      <c r="T25" s="77">
        <f t="shared" si="22"/>
        <v>832.75</v>
      </c>
      <c r="U25" s="77">
        <f t="shared" si="23"/>
        <v>2743.75</v>
      </c>
      <c r="V25" s="78">
        <f t="shared" si="24"/>
        <v>3020</v>
      </c>
      <c r="W25" s="78">
        <f t="shared" si="25"/>
        <v>8286125</v>
      </c>
      <c r="X25" s="81">
        <f>'Tables 6-8 Local Wealth'!M25</f>
        <v>0.43718084</v>
      </c>
      <c r="Y25" s="81">
        <f t="shared" si="26"/>
        <v>0.00276275</v>
      </c>
      <c r="Z25" s="81">
        <f t="shared" si="27"/>
        <v>0.00120782</v>
      </c>
      <c r="AA25" s="78">
        <f t="shared" si="0"/>
        <v>1267885.983730394</v>
      </c>
      <c r="AB25" s="82">
        <f t="shared" si="28"/>
        <v>0.153</v>
      </c>
      <c r="AC25" s="83">
        <f t="shared" si="29"/>
        <v>7018239.016269606</v>
      </c>
      <c r="AD25" s="82">
        <f t="shared" si="30"/>
        <v>0.847</v>
      </c>
      <c r="AE25" s="78">
        <f>'Tables 6-8 Local Wealth'!BI25</f>
        <v>1455599</v>
      </c>
      <c r="AF25" s="78">
        <f t="shared" si="31"/>
        <v>187713.01626960607</v>
      </c>
      <c r="AG25" s="86">
        <f t="shared" si="32"/>
        <v>0</v>
      </c>
      <c r="AH25" s="78">
        <f t="shared" si="33"/>
        <v>2734421</v>
      </c>
      <c r="AI25" s="78">
        <f t="shared" si="34"/>
        <v>187713.01626960607</v>
      </c>
      <c r="AJ25" s="83">
        <f t="shared" si="35"/>
        <v>138474.29579059806</v>
      </c>
      <c r="AK25" s="82">
        <f t="shared" si="36"/>
        <v>0.7376914960000001</v>
      </c>
      <c r="AL25" s="78">
        <f t="shared" si="37"/>
        <v>1878684.822393218</v>
      </c>
      <c r="AM25" s="78">
        <f t="shared" si="38"/>
        <v>326187.3120602041</v>
      </c>
      <c r="AN25" s="78">
        <f t="shared" si="39"/>
        <v>7156713.312060203</v>
      </c>
      <c r="AO25" s="78">
        <f t="shared" si="40"/>
        <v>3745.00958</v>
      </c>
      <c r="AP25" s="78">
        <v>6666079</v>
      </c>
      <c r="AQ25" s="73">
        <v>1962</v>
      </c>
      <c r="AR25" s="163">
        <f t="shared" si="41"/>
        <v>3397.59</v>
      </c>
      <c r="AS25" s="82">
        <f t="shared" si="1"/>
        <v>0.9072313240918333</v>
      </c>
      <c r="AT25" s="310">
        <f t="shared" si="42"/>
        <v>490634.3120602034</v>
      </c>
      <c r="AU25" s="78">
        <f t="shared" si="2"/>
        <v>490634.3074</v>
      </c>
      <c r="AV25" s="78">
        <f t="shared" si="43"/>
        <v>0</v>
      </c>
      <c r="AW25" s="77">
        <f t="shared" si="3"/>
        <v>0</v>
      </c>
      <c r="AX25" s="78">
        <f t="shared" si="44"/>
        <v>0</v>
      </c>
      <c r="AY25" s="78">
        <f t="shared" si="4"/>
        <v>6492794.49</v>
      </c>
      <c r="AZ25" s="78">
        <f t="shared" si="45"/>
        <v>7156713.3074</v>
      </c>
      <c r="BA25" s="78">
        <f t="shared" si="46"/>
        <v>7156713.3074</v>
      </c>
      <c r="BB25" s="78">
        <f t="shared" si="5"/>
        <v>3745.01</v>
      </c>
      <c r="BC25" s="82">
        <f t="shared" si="6"/>
        <v>1.000000112149246</v>
      </c>
      <c r="BD25" s="82">
        <f t="shared" si="47"/>
        <v>0.83</v>
      </c>
      <c r="BE25" s="78">
        <f t="shared" si="7"/>
        <v>1455599</v>
      </c>
      <c r="BF25" s="78">
        <f t="shared" si="8"/>
        <v>761.69</v>
      </c>
      <c r="BG25" s="82">
        <f t="shared" si="48"/>
        <v>0.169</v>
      </c>
      <c r="BH25" s="78">
        <f t="shared" si="49"/>
        <v>8612312.31</v>
      </c>
      <c r="BI25" s="78">
        <f t="shared" si="9"/>
        <v>4506.7</v>
      </c>
      <c r="BJ25" s="77">
        <v>1962</v>
      </c>
      <c r="BK25" s="7">
        <v>18</v>
      </c>
      <c r="BL25" s="77" t="s">
        <v>24</v>
      </c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1:164" s="7" customFormat="1" ht="12.75">
      <c r="A26" s="76">
        <v>19</v>
      </c>
      <c r="B26" s="77" t="s">
        <v>25</v>
      </c>
      <c r="C26" s="77">
        <v>2660</v>
      </c>
      <c r="D26" s="77">
        <v>2103</v>
      </c>
      <c r="E26" s="78">
        <f t="shared" si="10"/>
        <v>1079680</v>
      </c>
      <c r="F26" s="79">
        <f t="shared" si="11"/>
        <v>357.51</v>
      </c>
      <c r="G26" s="77">
        <v>906</v>
      </c>
      <c r="H26" s="78">
        <f t="shared" si="12"/>
        <v>135900</v>
      </c>
      <c r="I26" s="77">
        <f t="shared" si="13"/>
        <v>45</v>
      </c>
      <c r="J26" s="77">
        <v>338</v>
      </c>
      <c r="K26" s="78">
        <f t="shared" si="14"/>
        <v>1531140</v>
      </c>
      <c r="L26" s="77">
        <f t="shared" si="15"/>
        <v>507</v>
      </c>
      <c r="M26" s="77">
        <v>15</v>
      </c>
      <c r="N26" s="78">
        <f t="shared" si="16"/>
        <v>27180</v>
      </c>
      <c r="O26" s="77">
        <f t="shared" si="17"/>
        <v>9</v>
      </c>
      <c r="P26" s="77">
        <f t="shared" si="18"/>
        <v>4840</v>
      </c>
      <c r="Q26" s="74">
        <f t="shared" si="19"/>
        <v>0.12907</v>
      </c>
      <c r="R26" s="78">
        <f t="shared" si="20"/>
        <v>1035860</v>
      </c>
      <c r="S26" s="77">
        <f t="shared" si="21"/>
        <v>343</v>
      </c>
      <c r="T26" s="77">
        <f t="shared" si="22"/>
        <v>1261.51</v>
      </c>
      <c r="U26" s="77">
        <f t="shared" si="23"/>
        <v>3921.51</v>
      </c>
      <c r="V26" s="78">
        <f t="shared" si="24"/>
        <v>3020</v>
      </c>
      <c r="W26" s="78">
        <f t="shared" si="25"/>
        <v>11842960</v>
      </c>
      <c r="X26" s="81">
        <f>'Tables 6-8 Local Wealth'!M26</f>
        <v>0.59967434</v>
      </c>
      <c r="Y26" s="81">
        <f t="shared" si="26"/>
        <v>0.00394867</v>
      </c>
      <c r="Z26" s="81">
        <f t="shared" si="27"/>
        <v>0.00236792</v>
      </c>
      <c r="AA26" s="78">
        <f t="shared" si="0"/>
        <v>2485678.8085930636</v>
      </c>
      <c r="AB26" s="82">
        <f t="shared" si="28"/>
        <v>0.2099</v>
      </c>
      <c r="AC26" s="83">
        <f t="shared" si="29"/>
        <v>9357281.191406935</v>
      </c>
      <c r="AD26" s="82">
        <f t="shared" si="30"/>
        <v>0.7901</v>
      </c>
      <c r="AE26" s="78">
        <f>'Tables 6-8 Local Wealth'!BI26</f>
        <v>3880121</v>
      </c>
      <c r="AF26" s="78">
        <f t="shared" si="31"/>
        <v>1394442.1914069364</v>
      </c>
      <c r="AG26" s="86">
        <f t="shared" si="32"/>
        <v>0</v>
      </c>
      <c r="AH26" s="78">
        <f t="shared" si="33"/>
        <v>3908177</v>
      </c>
      <c r="AI26" s="78">
        <f t="shared" si="34"/>
        <v>1394442.1914069364</v>
      </c>
      <c r="AJ26" s="83">
        <f t="shared" si="35"/>
        <v>892715.4709268714</v>
      </c>
      <c r="AK26" s="82">
        <f t="shared" si="36"/>
        <v>0.640195396</v>
      </c>
      <c r="AL26" s="78">
        <f t="shared" si="37"/>
        <v>1609281.4512262205</v>
      </c>
      <c r="AM26" s="78">
        <f t="shared" si="38"/>
        <v>2287157.662333808</v>
      </c>
      <c r="AN26" s="78">
        <f t="shared" si="39"/>
        <v>10249996.662333807</v>
      </c>
      <c r="AO26" s="78">
        <f t="shared" si="40"/>
        <v>3853.3822</v>
      </c>
      <c r="AP26" s="78">
        <v>9965094</v>
      </c>
      <c r="AQ26" s="73">
        <v>2765</v>
      </c>
      <c r="AR26" s="163">
        <f t="shared" si="41"/>
        <v>3604.01</v>
      </c>
      <c r="AS26" s="82">
        <f t="shared" si="1"/>
        <v>0.9352848518374326</v>
      </c>
      <c r="AT26" s="310">
        <f t="shared" si="42"/>
        <v>284902.662333807</v>
      </c>
      <c r="AU26" s="78">
        <f t="shared" si="2"/>
        <v>284902.652</v>
      </c>
      <c r="AV26" s="78">
        <f t="shared" si="43"/>
        <v>0</v>
      </c>
      <c r="AW26" s="77">
        <f t="shared" si="3"/>
        <v>0</v>
      </c>
      <c r="AX26" s="78">
        <f t="shared" si="44"/>
        <v>0</v>
      </c>
      <c r="AY26" s="78">
        <f t="shared" si="4"/>
        <v>9586666.600000001</v>
      </c>
      <c r="AZ26" s="78">
        <f t="shared" si="45"/>
        <v>10249996.652</v>
      </c>
      <c r="BA26" s="78">
        <f t="shared" si="46"/>
        <v>10249996.652</v>
      </c>
      <c r="BB26" s="78">
        <f t="shared" si="5"/>
        <v>3853.38</v>
      </c>
      <c r="BC26" s="82">
        <f t="shared" si="6"/>
        <v>0.9999994290729842</v>
      </c>
      <c r="BD26" s="82">
        <f t="shared" si="47"/>
        <v>0.73</v>
      </c>
      <c r="BE26" s="78">
        <f t="shared" si="7"/>
        <v>3880121</v>
      </c>
      <c r="BF26" s="78">
        <f t="shared" si="8"/>
        <v>1458.69</v>
      </c>
      <c r="BG26" s="82">
        <f t="shared" si="48"/>
        <v>0.2746</v>
      </c>
      <c r="BH26" s="78">
        <f t="shared" si="49"/>
        <v>14130117.65</v>
      </c>
      <c r="BI26" s="78">
        <f t="shared" si="9"/>
        <v>5312.07</v>
      </c>
      <c r="BJ26" s="77">
        <v>2803</v>
      </c>
      <c r="BK26" s="7">
        <v>19</v>
      </c>
      <c r="BL26" s="77" t="s">
        <v>25</v>
      </c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</row>
    <row r="27" spans="1:164" s="124" customFormat="1" ht="12.75">
      <c r="A27" s="115">
        <v>20</v>
      </c>
      <c r="B27" s="116" t="s">
        <v>26</v>
      </c>
      <c r="C27" s="116">
        <v>6340</v>
      </c>
      <c r="D27" s="116">
        <v>4810</v>
      </c>
      <c r="E27" s="117">
        <f t="shared" si="10"/>
        <v>2469454</v>
      </c>
      <c r="F27" s="118">
        <f t="shared" si="11"/>
        <v>817.7</v>
      </c>
      <c r="G27" s="116">
        <v>2235</v>
      </c>
      <c r="H27" s="117">
        <f t="shared" si="12"/>
        <v>338240</v>
      </c>
      <c r="I27" s="116">
        <f t="shared" si="13"/>
        <v>112</v>
      </c>
      <c r="J27" s="116">
        <v>952</v>
      </c>
      <c r="K27" s="117">
        <f t="shared" si="14"/>
        <v>4312560</v>
      </c>
      <c r="L27" s="116">
        <f t="shared" si="15"/>
        <v>1428</v>
      </c>
      <c r="M27" s="116">
        <v>54</v>
      </c>
      <c r="N27" s="117">
        <f t="shared" si="16"/>
        <v>96640</v>
      </c>
      <c r="O27" s="116">
        <f t="shared" si="17"/>
        <v>32</v>
      </c>
      <c r="P27" s="116">
        <f t="shared" si="18"/>
        <v>1160</v>
      </c>
      <c r="Q27" s="119">
        <f t="shared" si="19"/>
        <v>0.03093</v>
      </c>
      <c r="R27" s="117">
        <f t="shared" si="20"/>
        <v>591920</v>
      </c>
      <c r="S27" s="116">
        <f t="shared" si="21"/>
        <v>196</v>
      </c>
      <c r="T27" s="116">
        <f t="shared" si="22"/>
        <v>2585.7</v>
      </c>
      <c r="U27" s="116">
        <f t="shared" si="23"/>
        <v>8925.7</v>
      </c>
      <c r="V27" s="117">
        <f t="shared" si="24"/>
        <v>3020</v>
      </c>
      <c r="W27" s="117">
        <f t="shared" si="25"/>
        <v>26955614</v>
      </c>
      <c r="X27" s="121">
        <f>'Tables 6-8 Local Wealth'!M27</f>
        <v>0.57884233</v>
      </c>
      <c r="Y27" s="121">
        <f t="shared" si="26"/>
        <v>0.00898751</v>
      </c>
      <c r="Z27" s="121">
        <f t="shared" si="27"/>
        <v>0.00520235</v>
      </c>
      <c r="AA27" s="117">
        <f t="shared" si="0"/>
        <v>5461067.582470744</v>
      </c>
      <c r="AB27" s="122">
        <f t="shared" si="28"/>
        <v>0.2026</v>
      </c>
      <c r="AC27" s="123">
        <f t="shared" si="29"/>
        <v>21494546.417529255</v>
      </c>
      <c r="AD27" s="122">
        <f t="shared" si="30"/>
        <v>0.7974</v>
      </c>
      <c r="AE27" s="117">
        <f>'Tables 6-8 Local Wealth'!BI27</f>
        <v>5661543</v>
      </c>
      <c r="AF27" s="117">
        <f t="shared" si="31"/>
        <v>200475.41752925608</v>
      </c>
      <c r="AG27" s="179">
        <f t="shared" si="32"/>
        <v>0</v>
      </c>
      <c r="AH27" s="117">
        <f t="shared" si="33"/>
        <v>8895353</v>
      </c>
      <c r="AI27" s="117">
        <f t="shared" si="34"/>
        <v>200475.41752925608</v>
      </c>
      <c r="AJ27" s="123">
        <f t="shared" si="35"/>
        <v>130849.22285504162</v>
      </c>
      <c r="AK27" s="122">
        <f t="shared" si="36"/>
        <v>0.652694602</v>
      </c>
      <c r="AL27" s="117">
        <f t="shared" si="37"/>
        <v>5675099.663129464</v>
      </c>
      <c r="AM27" s="117">
        <f t="shared" si="38"/>
        <v>331324.6403842977</v>
      </c>
      <c r="AN27" s="117">
        <f t="shared" si="39"/>
        <v>21625395.640384298</v>
      </c>
      <c r="AO27" s="117">
        <f t="shared" si="40"/>
        <v>3410.94568</v>
      </c>
      <c r="AP27" s="117">
        <v>22132978</v>
      </c>
      <c r="AQ27" s="162">
        <v>6676</v>
      </c>
      <c r="AR27" s="164">
        <f t="shared" si="41"/>
        <v>3315.31</v>
      </c>
      <c r="AS27" s="122">
        <f t="shared" si="1"/>
        <v>0.9719621216600554</v>
      </c>
      <c r="AT27" s="311">
        <f t="shared" si="42"/>
        <v>0</v>
      </c>
      <c r="AU27" s="117">
        <f t="shared" si="2"/>
        <v>-507582.3888</v>
      </c>
      <c r="AV27" s="117">
        <f t="shared" si="43"/>
        <v>0</v>
      </c>
      <c r="AW27" s="116">
        <f t="shared" si="3"/>
        <v>0</v>
      </c>
      <c r="AX27" s="117">
        <f t="shared" si="44"/>
        <v>0</v>
      </c>
      <c r="AY27" s="117">
        <f t="shared" si="4"/>
        <v>21019065.4</v>
      </c>
      <c r="AZ27" s="117">
        <f t="shared" si="45"/>
        <v>21625395.6112</v>
      </c>
      <c r="BA27" s="117">
        <f t="shared" si="46"/>
        <v>21625395.6112</v>
      </c>
      <c r="BB27" s="117">
        <f t="shared" si="5"/>
        <v>3410.95</v>
      </c>
      <c r="BC27" s="122">
        <f t="shared" si="6"/>
        <v>1.0000012665109344</v>
      </c>
      <c r="BD27" s="122">
        <f t="shared" si="47"/>
        <v>0.79</v>
      </c>
      <c r="BE27" s="117">
        <f t="shared" si="7"/>
        <v>5661543</v>
      </c>
      <c r="BF27" s="117">
        <f t="shared" si="8"/>
        <v>892.99</v>
      </c>
      <c r="BG27" s="122">
        <f t="shared" si="48"/>
        <v>0.2075</v>
      </c>
      <c r="BH27" s="117">
        <f t="shared" si="49"/>
        <v>27286938.61</v>
      </c>
      <c r="BI27" s="117">
        <f t="shared" si="9"/>
        <v>4303.93</v>
      </c>
      <c r="BJ27" s="116">
        <v>6787</v>
      </c>
      <c r="BK27" s="124">
        <v>20</v>
      </c>
      <c r="BL27" s="116" t="s">
        <v>26</v>
      </c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1:164" s="7" customFormat="1" ht="12.75">
      <c r="A28" s="76">
        <v>21</v>
      </c>
      <c r="B28" s="77" t="s">
        <v>27</v>
      </c>
      <c r="C28" s="77">
        <v>4008</v>
      </c>
      <c r="D28" s="77">
        <v>2972</v>
      </c>
      <c r="E28" s="78">
        <f t="shared" si="10"/>
        <v>1525825</v>
      </c>
      <c r="F28" s="79">
        <f t="shared" si="11"/>
        <v>505.24</v>
      </c>
      <c r="G28" s="77">
        <v>1259</v>
      </c>
      <c r="H28" s="78">
        <f t="shared" si="12"/>
        <v>190260</v>
      </c>
      <c r="I28" s="77">
        <f t="shared" si="13"/>
        <v>63</v>
      </c>
      <c r="J28" s="77">
        <v>407</v>
      </c>
      <c r="K28" s="78">
        <f t="shared" si="14"/>
        <v>1845220</v>
      </c>
      <c r="L28" s="77">
        <f t="shared" si="15"/>
        <v>611</v>
      </c>
      <c r="M28" s="77">
        <v>111</v>
      </c>
      <c r="N28" s="78">
        <f t="shared" si="16"/>
        <v>202340</v>
      </c>
      <c r="O28" s="77">
        <f t="shared" si="17"/>
        <v>67</v>
      </c>
      <c r="P28" s="77">
        <f t="shared" si="18"/>
        <v>3492</v>
      </c>
      <c r="Q28" s="74">
        <f t="shared" si="19"/>
        <v>0.09312</v>
      </c>
      <c r="R28" s="78">
        <f t="shared" si="20"/>
        <v>1126460</v>
      </c>
      <c r="S28" s="77">
        <f t="shared" si="21"/>
        <v>373</v>
      </c>
      <c r="T28" s="77">
        <f t="shared" si="22"/>
        <v>1619.24</v>
      </c>
      <c r="U28" s="77">
        <f t="shared" si="23"/>
        <v>5627.24</v>
      </c>
      <c r="V28" s="78">
        <f t="shared" si="24"/>
        <v>3020</v>
      </c>
      <c r="W28" s="78">
        <f t="shared" si="25"/>
        <v>16994265</v>
      </c>
      <c r="X28" s="81">
        <f>'Tables 6-8 Local Wealth'!M28</f>
        <v>0.49805492</v>
      </c>
      <c r="Y28" s="81">
        <f t="shared" si="26"/>
        <v>0.00566621</v>
      </c>
      <c r="Z28" s="81">
        <f t="shared" si="27"/>
        <v>0.00282208</v>
      </c>
      <c r="AA28" s="78">
        <f t="shared" si="0"/>
        <v>2962424.597179936</v>
      </c>
      <c r="AB28" s="82">
        <f t="shared" si="28"/>
        <v>0.1743</v>
      </c>
      <c r="AC28" s="83">
        <f t="shared" si="29"/>
        <v>14031840.402820064</v>
      </c>
      <c r="AD28" s="82">
        <f t="shared" si="30"/>
        <v>0.8257</v>
      </c>
      <c r="AE28" s="78">
        <f>'Tables 6-8 Local Wealth'!BI28</f>
        <v>2929323</v>
      </c>
      <c r="AF28" s="78">
        <f t="shared" si="31"/>
        <v>0</v>
      </c>
      <c r="AG28" s="86">
        <f t="shared" si="32"/>
        <v>-33101.59717993578</v>
      </c>
      <c r="AH28" s="78">
        <f t="shared" si="33"/>
        <v>5608107</v>
      </c>
      <c r="AI28" s="78">
        <f t="shared" si="34"/>
        <v>0</v>
      </c>
      <c r="AJ28" s="83">
        <f t="shared" si="35"/>
        <v>0</v>
      </c>
      <c r="AK28" s="82">
        <f t="shared" si="36"/>
        <v>0</v>
      </c>
      <c r="AL28" s="78">
        <f t="shared" si="37"/>
        <v>3932219.8300581365</v>
      </c>
      <c r="AM28" s="78">
        <f t="shared" si="38"/>
        <v>0</v>
      </c>
      <c r="AN28" s="78">
        <f t="shared" si="39"/>
        <v>14031840.402820064</v>
      </c>
      <c r="AO28" s="78">
        <f t="shared" si="40"/>
        <v>3500.95818</v>
      </c>
      <c r="AP28" s="78">
        <v>13702108</v>
      </c>
      <c r="AQ28" s="73">
        <v>4107</v>
      </c>
      <c r="AR28" s="163">
        <f t="shared" si="41"/>
        <v>3336.28</v>
      </c>
      <c r="AS28" s="82">
        <f t="shared" si="1"/>
        <v>0.9529619688287736</v>
      </c>
      <c r="AT28" s="310">
        <f t="shared" si="42"/>
        <v>329732.40282006375</v>
      </c>
      <c r="AU28" s="78">
        <f t="shared" si="2"/>
        <v>329732.3854</v>
      </c>
      <c r="AV28" s="78">
        <f t="shared" si="43"/>
        <v>0</v>
      </c>
      <c r="AW28" s="77">
        <f t="shared" si="3"/>
        <v>0</v>
      </c>
      <c r="AX28" s="78">
        <f t="shared" si="44"/>
        <v>0</v>
      </c>
      <c r="AY28" s="78">
        <f t="shared" si="4"/>
        <v>13371810.24</v>
      </c>
      <c r="AZ28" s="78">
        <f t="shared" si="45"/>
        <v>14031840.3854</v>
      </c>
      <c r="BA28" s="78">
        <f t="shared" si="46"/>
        <v>14031840.3854</v>
      </c>
      <c r="BB28" s="78">
        <f t="shared" si="5"/>
        <v>3500.96</v>
      </c>
      <c r="BC28" s="82">
        <f t="shared" si="6"/>
        <v>1.0000005198576807</v>
      </c>
      <c r="BD28" s="82">
        <f t="shared" si="47"/>
        <v>0.83</v>
      </c>
      <c r="BE28" s="78">
        <f t="shared" si="7"/>
        <v>2962424.6</v>
      </c>
      <c r="BF28" s="78">
        <f t="shared" si="8"/>
        <v>739.13</v>
      </c>
      <c r="BG28" s="82">
        <f t="shared" si="48"/>
        <v>0.1743</v>
      </c>
      <c r="BH28" s="78">
        <f t="shared" si="49"/>
        <v>16994264.99</v>
      </c>
      <c r="BI28" s="78">
        <f t="shared" si="9"/>
        <v>4240.09</v>
      </c>
      <c r="BJ28" s="77">
        <v>4280</v>
      </c>
      <c r="BK28" s="7">
        <v>21</v>
      </c>
      <c r="BL28" s="77" t="s">
        <v>27</v>
      </c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</row>
    <row r="29" spans="1:164" s="7" customFormat="1" ht="12.75">
      <c r="A29" s="76">
        <v>22</v>
      </c>
      <c r="B29" s="77" t="s">
        <v>28</v>
      </c>
      <c r="C29" s="77">
        <v>3617</v>
      </c>
      <c r="D29" s="77">
        <v>2108</v>
      </c>
      <c r="E29" s="78">
        <f t="shared" si="10"/>
        <v>1082247</v>
      </c>
      <c r="F29" s="79">
        <f t="shared" si="11"/>
        <v>358.36</v>
      </c>
      <c r="G29" s="77">
        <v>1208</v>
      </c>
      <c r="H29" s="78">
        <f t="shared" si="12"/>
        <v>181200</v>
      </c>
      <c r="I29" s="77">
        <f t="shared" si="13"/>
        <v>60</v>
      </c>
      <c r="J29" s="77">
        <v>468</v>
      </c>
      <c r="K29" s="78">
        <f t="shared" si="14"/>
        <v>2120040</v>
      </c>
      <c r="L29" s="77">
        <f t="shared" si="15"/>
        <v>702</v>
      </c>
      <c r="M29" s="77">
        <v>45</v>
      </c>
      <c r="N29" s="78">
        <f t="shared" si="16"/>
        <v>81540</v>
      </c>
      <c r="O29" s="77">
        <f t="shared" si="17"/>
        <v>27</v>
      </c>
      <c r="P29" s="77">
        <f t="shared" si="18"/>
        <v>3883</v>
      </c>
      <c r="Q29" s="74">
        <f t="shared" si="19"/>
        <v>0.10355</v>
      </c>
      <c r="R29" s="78">
        <f t="shared" si="20"/>
        <v>1132500</v>
      </c>
      <c r="S29" s="77">
        <f t="shared" si="21"/>
        <v>375</v>
      </c>
      <c r="T29" s="77">
        <f t="shared" si="22"/>
        <v>1522.3600000000001</v>
      </c>
      <c r="U29" s="77">
        <f t="shared" si="23"/>
        <v>5139.360000000001</v>
      </c>
      <c r="V29" s="78">
        <f t="shared" si="24"/>
        <v>3020</v>
      </c>
      <c r="W29" s="78">
        <f t="shared" si="25"/>
        <v>15520867</v>
      </c>
      <c r="X29" s="81">
        <f>'Tables 6-8 Local Wealth'!M29</f>
        <v>0.35788867</v>
      </c>
      <c r="Y29" s="81">
        <f t="shared" si="26"/>
        <v>0.00517495</v>
      </c>
      <c r="Z29" s="81">
        <f t="shared" si="27"/>
        <v>0.00185206</v>
      </c>
      <c r="AA29" s="78">
        <f t="shared" si="0"/>
        <v>1944164.6230628018</v>
      </c>
      <c r="AB29" s="82">
        <f t="shared" si="28"/>
        <v>0.1253</v>
      </c>
      <c r="AC29" s="83">
        <f t="shared" si="29"/>
        <v>13576702.376937198</v>
      </c>
      <c r="AD29" s="82">
        <f t="shared" si="30"/>
        <v>0.8747</v>
      </c>
      <c r="AE29" s="78">
        <f>'Tables 6-8 Local Wealth'!BI29</f>
        <v>2751058</v>
      </c>
      <c r="AF29" s="78">
        <f t="shared" si="31"/>
        <v>806893.3769371982</v>
      </c>
      <c r="AG29" s="86">
        <f t="shared" si="32"/>
        <v>0</v>
      </c>
      <c r="AH29" s="78">
        <f t="shared" si="33"/>
        <v>5121886</v>
      </c>
      <c r="AI29" s="78">
        <f t="shared" si="34"/>
        <v>806893.3769371982</v>
      </c>
      <c r="AJ29" s="83">
        <f t="shared" si="35"/>
        <v>633626.5784348807</v>
      </c>
      <c r="AK29" s="82">
        <f t="shared" si="36"/>
        <v>0.785266798</v>
      </c>
      <c r="AL29" s="78">
        <f t="shared" si="37"/>
        <v>3388420.440506147</v>
      </c>
      <c r="AM29" s="78">
        <f t="shared" si="38"/>
        <v>1440519.9553720788</v>
      </c>
      <c r="AN29" s="78">
        <f t="shared" si="39"/>
        <v>14210328.955372078</v>
      </c>
      <c r="AO29" s="78">
        <f t="shared" si="40"/>
        <v>3928.76112</v>
      </c>
      <c r="AP29" s="78">
        <v>13669860</v>
      </c>
      <c r="AQ29" s="73">
        <v>3687</v>
      </c>
      <c r="AR29" s="163">
        <f t="shared" si="41"/>
        <v>3707.58</v>
      </c>
      <c r="AS29" s="82">
        <f t="shared" si="1"/>
        <v>0.9437020696234134</v>
      </c>
      <c r="AT29" s="310">
        <f t="shared" si="42"/>
        <v>540468.9553720783</v>
      </c>
      <c r="AU29" s="78">
        <f t="shared" si="2"/>
        <v>540468.971</v>
      </c>
      <c r="AV29" s="78">
        <f t="shared" si="43"/>
        <v>0</v>
      </c>
      <c r="AW29" s="77">
        <f t="shared" si="3"/>
        <v>0</v>
      </c>
      <c r="AX29" s="78">
        <f t="shared" si="44"/>
        <v>0</v>
      </c>
      <c r="AY29" s="78">
        <f t="shared" si="4"/>
        <v>13410316.86</v>
      </c>
      <c r="AZ29" s="78">
        <f t="shared" si="45"/>
        <v>14210328.971</v>
      </c>
      <c r="BA29" s="78">
        <f t="shared" si="46"/>
        <v>14210328.971</v>
      </c>
      <c r="BB29" s="78">
        <f t="shared" si="5"/>
        <v>3928.76</v>
      </c>
      <c r="BC29" s="82">
        <f t="shared" si="6"/>
        <v>0.9999997149228559</v>
      </c>
      <c r="BD29" s="82">
        <f t="shared" si="47"/>
        <v>0.84</v>
      </c>
      <c r="BE29" s="78">
        <f t="shared" si="7"/>
        <v>2751058</v>
      </c>
      <c r="BF29" s="78">
        <f t="shared" si="8"/>
        <v>760.59</v>
      </c>
      <c r="BG29" s="82">
        <f t="shared" si="48"/>
        <v>0.1622</v>
      </c>
      <c r="BH29" s="78">
        <f t="shared" si="49"/>
        <v>16961386.97</v>
      </c>
      <c r="BI29" s="78">
        <f t="shared" si="9"/>
        <v>4689.35</v>
      </c>
      <c r="BJ29" s="77">
        <v>3674</v>
      </c>
      <c r="BK29" s="7">
        <v>22</v>
      </c>
      <c r="BL29" s="77" t="s">
        <v>28</v>
      </c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1:164" s="7" customFormat="1" ht="12.75">
      <c r="A30" s="76">
        <v>23</v>
      </c>
      <c r="B30" s="77" t="s">
        <v>29</v>
      </c>
      <c r="C30" s="77">
        <v>14663</v>
      </c>
      <c r="D30" s="77">
        <v>8497</v>
      </c>
      <c r="E30" s="78">
        <f t="shared" si="10"/>
        <v>4362360</v>
      </c>
      <c r="F30" s="79">
        <f t="shared" si="11"/>
        <v>1444.49</v>
      </c>
      <c r="G30" s="77">
        <v>5341</v>
      </c>
      <c r="H30" s="78">
        <f t="shared" si="12"/>
        <v>806340</v>
      </c>
      <c r="I30" s="77">
        <f t="shared" si="13"/>
        <v>267</v>
      </c>
      <c r="J30" s="77">
        <v>2405</v>
      </c>
      <c r="K30" s="78">
        <f t="shared" si="14"/>
        <v>10896160</v>
      </c>
      <c r="L30" s="77">
        <f t="shared" si="15"/>
        <v>3608</v>
      </c>
      <c r="M30" s="77">
        <v>594</v>
      </c>
      <c r="N30" s="78">
        <f t="shared" si="16"/>
        <v>1075120</v>
      </c>
      <c r="O30" s="77">
        <f t="shared" si="17"/>
        <v>356</v>
      </c>
      <c r="P30" s="77">
        <f t="shared" si="18"/>
        <v>0</v>
      </c>
      <c r="Q30" s="74">
        <f t="shared" si="19"/>
        <v>0</v>
      </c>
      <c r="R30" s="78">
        <f t="shared" si="20"/>
        <v>0</v>
      </c>
      <c r="S30" s="77">
        <f t="shared" si="21"/>
        <v>0</v>
      </c>
      <c r="T30" s="77">
        <f t="shared" si="22"/>
        <v>5675.49</v>
      </c>
      <c r="U30" s="77">
        <f t="shared" si="23"/>
        <v>20338.489999999998</v>
      </c>
      <c r="V30" s="78">
        <f t="shared" si="24"/>
        <v>3020</v>
      </c>
      <c r="W30" s="78">
        <f t="shared" si="25"/>
        <v>61422240</v>
      </c>
      <c r="X30" s="81">
        <f>'Tables 6-8 Local Wealth'!M30</f>
        <v>0.75703587</v>
      </c>
      <c r="Y30" s="81">
        <f t="shared" si="26"/>
        <v>0.02047933</v>
      </c>
      <c r="Z30" s="81">
        <f t="shared" si="27"/>
        <v>0.01550359</v>
      </c>
      <c r="AA30" s="78">
        <f t="shared" si="0"/>
        <v>16274597.587805051</v>
      </c>
      <c r="AB30" s="82">
        <f t="shared" si="28"/>
        <v>0.265</v>
      </c>
      <c r="AC30" s="83">
        <f t="shared" si="29"/>
        <v>45147642.41219495</v>
      </c>
      <c r="AD30" s="82">
        <f t="shared" si="30"/>
        <v>0.735</v>
      </c>
      <c r="AE30" s="78">
        <f>'Tables 6-8 Local Wealth'!BI30</f>
        <v>25948225</v>
      </c>
      <c r="AF30" s="78">
        <f t="shared" si="31"/>
        <v>9673627.412194949</v>
      </c>
      <c r="AG30" s="86">
        <f t="shared" si="32"/>
        <v>0</v>
      </c>
      <c r="AH30" s="78">
        <f t="shared" si="33"/>
        <v>20269339</v>
      </c>
      <c r="AI30" s="78">
        <f t="shared" si="34"/>
        <v>9673627.412194949</v>
      </c>
      <c r="AJ30" s="83">
        <f t="shared" si="35"/>
        <v>5279657.6457668375</v>
      </c>
      <c r="AK30" s="82">
        <f t="shared" si="36"/>
        <v>0.545778478</v>
      </c>
      <c r="AL30" s="78">
        <f t="shared" si="37"/>
        <v>5782911.343719205</v>
      </c>
      <c r="AM30" s="78">
        <f t="shared" si="38"/>
        <v>14953285.057961786</v>
      </c>
      <c r="AN30" s="78">
        <f t="shared" si="39"/>
        <v>50427300.05796179</v>
      </c>
      <c r="AO30" s="78">
        <f t="shared" si="40"/>
        <v>3439.08478</v>
      </c>
      <c r="AP30" s="78">
        <v>49551276</v>
      </c>
      <c r="AQ30" s="73">
        <v>15030</v>
      </c>
      <c r="AR30" s="163">
        <f t="shared" si="41"/>
        <v>3296.82</v>
      </c>
      <c r="AS30" s="82">
        <f t="shared" si="1"/>
        <v>0.9586329535034027</v>
      </c>
      <c r="AT30" s="310">
        <f t="shared" si="42"/>
        <v>876024.0579617918</v>
      </c>
      <c r="AU30" s="78">
        <f t="shared" si="2"/>
        <v>876024.1291</v>
      </c>
      <c r="AV30" s="78">
        <f t="shared" si="43"/>
        <v>0</v>
      </c>
      <c r="AW30" s="77">
        <f t="shared" si="3"/>
        <v>0</v>
      </c>
      <c r="AX30" s="78">
        <f t="shared" si="44"/>
        <v>0</v>
      </c>
      <c r="AY30" s="78">
        <f t="shared" si="4"/>
        <v>48341271.660000004</v>
      </c>
      <c r="AZ30" s="78">
        <f t="shared" si="45"/>
        <v>50427300.1291</v>
      </c>
      <c r="BA30" s="78">
        <f t="shared" si="46"/>
        <v>50427300.1291</v>
      </c>
      <c r="BB30" s="78">
        <f t="shared" si="5"/>
        <v>3439.08</v>
      </c>
      <c r="BC30" s="82">
        <f t="shared" si="6"/>
        <v>0.9999986100953289</v>
      </c>
      <c r="BD30" s="82">
        <f t="shared" si="47"/>
        <v>0.66</v>
      </c>
      <c r="BE30" s="78">
        <f t="shared" si="7"/>
        <v>25948225</v>
      </c>
      <c r="BF30" s="78">
        <f t="shared" si="8"/>
        <v>1769.64</v>
      </c>
      <c r="BG30" s="82">
        <f t="shared" si="48"/>
        <v>0.3397</v>
      </c>
      <c r="BH30" s="78">
        <f t="shared" si="49"/>
        <v>76375525.13</v>
      </c>
      <c r="BI30" s="78">
        <f t="shared" si="9"/>
        <v>5208.72</v>
      </c>
      <c r="BJ30" s="77">
        <v>15222</v>
      </c>
      <c r="BK30" s="7">
        <v>23</v>
      </c>
      <c r="BL30" s="77" t="s">
        <v>29</v>
      </c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</row>
    <row r="31" spans="1:164" s="7" customFormat="1" ht="12.75">
      <c r="A31" s="76">
        <v>24</v>
      </c>
      <c r="B31" s="77" t="s">
        <v>30</v>
      </c>
      <c r="C31" s="77">
        <v>5071</v>
      </c>
      <c r="D31" s="77">
        <v>3915</v>
      </c>
      <c r="E31" s="78">
        <f t="shared" si="10"/>
        <v>2009961</v>
      </c>
      <c r="F31" s="79">
        <f t="shared" si="11"/>
        <v>665.55</v>
      </c>
      <c r="G31" s="77">
        <v>1736</v>
      </c>
      <c r="H31" s="78">
        <f t="shared" si="12"/>
        <v>262740</v>
      </c>
      <c r="I31" s="77">
        <f t="shared" si="13"/>
        <v>87</v>
      </c>
      <c r="J31" s="77">
        <v>697</v>
      </c>
      <c r="K31" s="78">
        <f t="shared" si="14"/>
        <v>3158920</v>
      </c>
      <c r="L31" s="77">
        <f t="shared" si="15"/>
        <v>1046</v>
      </c>
      <c r="M31" s="77">
        <v>57</v>
      </c>
      <c r="N31" s="78">
        <f t="shared" si="16"/>
        <v>102680</v>
      </c>
      <c r="O31" s="77">
        <f t="shared" si="17"/>
        <v>34</v>
      </c>
      <c r="P31" s="77">
        <f t="shared" si="18"/>
        <v>2429</v>
      </c>
      <c r="Q31" s="74">
        <f t="shared" si="19"/>
        <v>0.06477</v>
      </c>
      <c r="R31" s="78">
        <f t="shared" si="20"/>
        <v>990560</v>
      </c>
      <c r="S31" s="77">
        <f t="shared" si="21"/>
        <v>328</v>
      </c>
      <c r="T31" s="77">
        <f t="shared" si="22"/>
        <v>2160.55</v>
      </c>
      <c r="U31" s="77">
        <f t="shared" si="23"/>
        <v>7231.55</v>
      </c>
      <c r="V31" s="78">
        <f t="shared" si="24"/>
        <v>3020</v>
      </c>
      <c r="W31" s="78">
        <f t="shared" si="25"/>
        <v>21839281</v>
      </c>
      <c r="X31" s="81">
        <f>'Tables 6-8 Local Wealth'!M31</f>
        <v>1.61368273</v>
      </c>
      <c r="Y31" s="81">
        <f t="shared" si="26"/>
        <v>0.00728163</v>
      </c>
      <c r="Z31" s="81">
        <f t="shared" si="27"/>
        <v>0.01175024</v>
      </c>
      <c r="AA31" s="78">
        <f t="shared" si="0"/>
        <v>12334590.089142608</v>
      </c>
      <c r="AB31" s="82">
        <f t="shared" si="28"/>
        <v>0.5648</v>
      </c>
      <c r="AC31" s="83">
        <f t="shared" si="29"/>
        <v>9504690.910857392</v>
      </c>
      <c r="AD31" s="82">
        <f t="shared" si="30"/>
        <v>0.4352</v>
      </c>
      <c r="AE31" s="78">
        <f>'Tables 6-8 Local Wealth'!BI31</f>
        <v>16071902</v>
      </c>
      <c r="AF31" s="78">
        <f t="shared" si="31"/>
        <v>3737311.9108573925</v>
      </c>
      <c r="AG31" s="86">
        <f t="shared" si="32"/>
        <v>0</v>
      </c>
      <c r="AH31" s="78">
        <f t="shared" si="33"/>
        <v>7206963</v>
      </c>
      <c r="AI31" s="78">
        <f t="shared" si="34"/>
        <v>3737311.9108573925</v>
      </c>
      <c r="AJ31" s="83">
        <f t="shared" si="35"/>
        <v>118810.49855306809</v>
      </c>
      <c r="AK31" s="82">
        <f t="shared" si="36"/>
        <v>0.03179036199999996</v>
      </c>
      <c r="AL31" s="78">
        <f t="shared" si="37"/>
        <v>110301.46413753764</v>
      </c>
      <c r="AM31" s="78">
        <f t="shared" si="38"/>
        <v>3856122.4094104604</v>
      </c>
      <c r="AN31" s="78">
        <f t="shared" si="39"/>
        <v>9623501.40941046</v>
      </c>
      <c r="AO31" s="78">
        <f t="shared" si="40"/>
        <v>1897.7522</v>
      </c>
      <c r="AP31" s="78">
        <v>13443774</v>
      </c>
      <c r="AQ31" s="73">
        <v>5260</v>
      </c>
      <c r="AR31" s="163">
        <f t="shared" si="41"/>
        <v>2555.85</v>
      </c>
      <c r="AS31" s="82">
        <f t="shared" si="1"/>
        <v>1.346777519214574</v>
      </c>
      <c r="AT31" s="310">
        <f t="shared" si="42"/>
        <v>0</v>
      </c>
      <c r="AU31" s="78">
        <f t="shared" si="2"/>
        <v>-483058.65</v>
      </c>
      <c r="AV31" s="78">
        <f t="shared" si="43"/>
        <v>3337213.9438000005</v>
      </c>
      <c r="AW31" s="77">
        <f t="shared" si="3"/>
        <v>5071</v>
      </c>
      <c r="AX31" s="78">
        <f t="shared" si="44"/>
        <v>658.0978000000001</v>
      </c>
      <c r="AY31" s="78">
        <f t="shared" si="4"/>
        <v>12960715.35</v>
      </c>
      <c r="AZ31" s="78">
        <f t="shared" si="45"/>
        <v>9623501.4062</v>
      </c>
      <c r="BA31" s="78">
        <f t="shared" si="46"/>
        <v>12960715.35</v>
      </c>
      <c r="BB31" s="78">
        <f t="shared" si="5"/>
        <v>2555.85</v>
      </c>
      <c r="BC31" s="82">
        <f t="shared" si="6"/>
        <v>1.346777519214574</v>
      </c>
      <c r="BD31" s="82">
        <f t="shared" si="47"/>
        <v>0.5</v>
      </c>
      <c r="BE31" s="78">
        <f t="shared" si="7"/>
        <v>12734688.06</v>
      </c>
      <c r="BF31" s="78">
        <f t="shared" si="8"/>
        <v>2511.28</v>
      </c>
      <c r="BG31" s="82">
        <f t="shared" si="48"/>
        <v>0.4956</v>
      </c>
      <c r="BH31" s="78">
        <f t="shared" si="49"/>
        <v>25695403.41</v>
      </c>
      <c r="BI31" s="78">
        <f t="shared" si="9"/>
        <v>5067.13</v>
      </c>
      <c r="BJ31" s="77">
        <v>5280</v>
      </c>
      <c r="BK31" s="7">
        <v>24</v>
      </c>
      <c r="BL31" s="77" t="s">
        <v>30</v>
      </c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1:164" s="124" customFormat="1" ht="12.75">
      <c r="A32" s="115">
        <v>25</v>
      </c>
      <c r="B32" s="116" t="s">
        <v>31</v>
      </c>
      <c r="C32" s="116">
        <v>2682</v>
      </c>
      <c r="D32" s="116">
        <v>1502</v>
      </c>
      <c r="E32" s="117">
        <f t="shared" si="10"/>
        <v>771127</v>
      </c>
      <c r="F32" s="118">
        <f t="shared" si="11"/>
        <v>255.34</v>
      </c>
      <c r="G32" s="116">
        <v>1016</v>
      </c>
      <c r="H32" s="117">
        <f t="shared" si="12"/>
        <v>154020</v>
      </c>
      <c r="I32" s="116">
        <f t="shared" si="13"/>
        <v>51</v>
      </c>
      <c r="J32" s="116">
        <v>300</v>
      </c>
      <c r="K32" s="117">
        <f t="shared" si="14"/>
        <v>1359000</v>
      </c>
      <c r="L32" s="116">
        <f t="shared" si="15"/>
        <v>450</v>
      </c>
      <c r="M32" s="116">
        <v>70</v>
      </c>
      <c r="N32" s="117">
        <f t="shared" si="16"/>
        <v>126840</v>
      </c>
      <c r="O32" s="116">
        <f t="shared" si="17"/>
        <v>42</v>
      </c>
      <c r="P32" s="116">
        <f t="shared" si="18"/>
        <v>4818</v>
      </c>
      <c r="Q32" s="119">
        <f t="shared" si="19"/>
        <v>0.12848</v>
      </c>
      <c r="R32" s="117">
        <f t="shared" si="20"/>
        <v>1041900</v>
      </c>
      <c r="S32" s="116">
        <f t="shared" si="21"/>
        <v>345</v>
      </c>
      <c r="T32" s="116">
        <f t="shared" si="22"/>
        <v>1143.3400000000001</v>
      </c>
      <c r="U32" s="116">
        <f t="shared" si="23"/>
        <v>3825.34</v>
      </c>
      <c r="V32" s="117">
        <f t="shared" si="24"/>
        <v>3020</v>
      </c>
      <c r="W32" s="117">
        <f t="shared" si="25"/>
        <v>11552527</v>
      </c>
      <c r="X32" s="121">
        <f>'Tables 6-8 Local Wealth'!M32</f>
        <v>0.63843659</v>
      </c>
      <c r="Y32" s="121">
        <f t="shared" si="26"/>
        <v>0.00385183</v>
      </c>
      <c r="Z32" s="121">
        <f t="shared" si="27"/>
        <v>0.00245915</v>
      </c>
      <c r="AA32" s="117">
        <f t="shared" si="0"/>
        <v>2581445.7592113046</v>
      </c>
      <c r="AB32" s="122">
        <f t="shared" si="28"/>
        <v>0.2235</v>
      </c>
      <c r="AC32" s="123">
        <f t="shared" si="29"/>
        <v>8971081.240788694</v>
      </c>
      <c r="AD32" s="122">
        <f t="shared" si="30"/>
        <v>0.7765</v>
      </c>
      <c r="AE32" s="117">
        <f>'Tables 6-8 Local Wealth'!BI32</f>
        <v>4292905</v>
      </c>
      <c r="AF32" s="117">
        <f t="shared" si="31"/>
        <v>1711459.2407886954</v>
      </c>
      <c r="AG32" s="179">
        <f t="shared" si="32"/>
        <v>0</v>
      </c>
      <c r="AH32" s="117">
        <f t="shared" si="33"/>
        <v>3812334</v>
      </c>
      <c r="AI32" s="117">
        <f t="shared" si="34"/>
        <v>1711459.2407886954</v>
      </c>
      <c r="AJ32" s="123">
        <f t="shared" si="35"/>
        <v>1055864.3198208213</v>
      </c>
      <c r="AK32" s="122">
        <f t="shared" si="36"/>
        <v>0.616938046</v>
      </c>
      <c r="AL32" s="117">
        <f t="shared" si="37"/>
        <v>1296109.5688385428</v>
      </c>
      <c r="AM32" s="117">
        <f t="shared" si="38"/>
        <v>2767323.5606095167</v>
      </c>
      <c r="AN32" s="117">
        <f t="shared" si="39"/>
        <v>10026945.560609516</v>
      </c>
      <c r="AO32" s="117">
        <f t="shared" si="40"/>
        <v>3738.60759</v>
      </c>
      <c r="AP32" s="117">
        <v>9547086</v>
      </c>
      <c r="AQ32" s="162">
        <v>2718</v>
      </c>
      <c r="AR32" s="164">
        <f t="shared" si="41"/>
        <v>3512.54</v>
      </c>
      <c r="AS32" s="122">
        <f t="shared" si="1"/>
        <v>0.9395316078090987</v>
      </c>
      <c r="AT32" s="311">
        <f t="shared" si="42"/>
        <v>479859.56060951576</v>
      </c>
      <c r="AU32" s="117">
        <f t="shared" si="2"/>
        <v>479859.5564</v>
      </c>
      <c r="AV32" s="117">
        <f t="shared" si="43"/>
        <v>0</v>
      </c>
      <c r="AW32" s="116">
        <f t="shared" si="3"/>
        <v>0</v>
      </c>
      <c r="AX32" s="117">
        <f t="shared" si="44"/>
        <v>0</v>
      </c>
      <c r="AY32" s="117">
        <f t="shared" si="4"/>
        <v>9420632.28</v>
      </c>
      <c r="AZ32" s="117">
        <f t="shared" si="45"/>
        <v>10026945.5564</v>
      </c>
      <c r="BA32" s="117">
        <f t="shared" si="46"/>
        <v>10026945.5564</v>
      </c>
      <c r="BB32" s="117">
        <f t="shared" si="5"/>
        <v>3738.61</v>
      </c>
      <c r="BC32" s="122">
        <f t="shared" si="6"/>
        <v>1.000000644625022</v>
      </c>
      <c r="BD32" s="122">
        <f t="shared" si="47"/>
        <v>0.7</v>
      </c>
      <c r="BE32" s="117">
        <f t="shared" si="7"/>
        <v>4292905</v>
      </c>
      <c r="BF32" s="117">
        <f t="shared" si="8"/>
        <v>1600.64</v>
      </c>
      <c r="BG32" s="122">
        <f t="shared" si="48"/>
        <v>0.2998</v>
      </c>
      <c r="BH32" s="117">
        <f t="shared" si="49"/>
        <v>14319850.56</v>
      </c>
      <c r="BI32" s="117">
        <f t="shared" si="9"/>
        <v>5339.24</v>
      </c>
      <c r="BJ32" s="116">
        <v>2812</v>
      </c>
      <c r="BK32" s="124">
        <v>25</v>
      </c>
      <c r="BL32" s="116" t="s">
        <v>31</v>
      </c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</row>
    <row r="33" spans="1:164" s="7" customFormat="1" ht="12.75">
      <c r="A33" s="76">
        <v>26</v>
      </c>
      <c r="B33" s="77" t="s">
        <v>32</v>
      </c>
      <c r="C33" s="77">
        <v>51371</v>
      </c>
      <c r="D33" s="77">
        <v>34799</v>
      </c>
      <c r="E33" s="78">
        <f t="shared" si="10"/>
        <v>17865807</v>
      </c>
      <c r="F33" s="79">
        <f t="shared" si="11"/>
        <v>5915.83</v>
      </c>
      <c r="G33" s="77">
        <v>9956</v>
      </c>
      <c r="H33" s="78">
        <f t="shared" si="12"/>
        <v>1503960</v>
      </c>
      <c r="I33" s="77">
        <f t="shared" si="13"/>
        <v>498</v>
      </c>
      <c r="J33" s="77">
        <v>7784</v>
      </c>
      <c r="K33" s="78">
        <f t="shared" si="14"/>
        <v>35261520</v>
      </c>
      <c r="L33" s="77">
        <f t="shared" si="15"/>
        <v>11676</v>
      </c>
      <c r="M33" s="77">
        <v>2667</v>
      </c>
      <c r="N33" s="78">
        <f t="shared" si="16"/>
        <v>4832000</v>
      </c>
      <c r="O33" s="77">
        <f t="shared" si="17"/>
        <v>1600</v>
      </c>
      <c r="P33" s="77">
        <f t="shared" si="18"/>
        <v>0</v>
      </c>
      <c r="Q33" s="74">
        <f t="shared" si="19"/>
        <v>0</v>
      </c>
      <c r="R33" s="78">
        <f t="shared" si="20"/>
        <v>0</v>
      </c>
      <c r="S33" s="77">
        <f t="shared" si="21"/>
        <v>0</v>
      </c>
      <c r="T33" s="77">
        <f t="shared" si="22"/>
        <v>19689.83</v>
      </c>
      <c r="U33" s="77">
        <f t="shared" si="23"/>
        <v>71060.83</v>
      </c>
      <c r="V33" s="78">
        <f t="shared" si="24"/>
        <v>3020</v>
      </c>
      <c r="W33" s="78">
        <f t="shared" si="25"/>
        <v>214603707</v>
      </c>
      <c r="X33" s="81">
        <f>'Tables 6-8 Local Wealth'!M33</f>
        <v>1.62103222</v>
      </c>
      <c r="Y33" s="81">
        <f t="shared" si="26"/>
        <v>0.07155291</v>
      </c>
      <c r="Z33" s="81">
        <f t="shared" si="27"/>
        <v>0.11598957</v>
      </c>
      <c r="AA33" s="78">
        <f t="shared" si="0"/>
        <v>121757836.4838431</v>
      </c>
      <c r="AB33" s="82">
        <f t="shared" si="28"/>
        <v>0.5674</v>
      </c>
      <c r="AC33" s="83">
        <f t="shared" si="29"/>
        <v>92845870.5161569</v>
      </c>
      <c r="AD33" s="82">
        <f t="shared" si="30"/>
        <v>0.4326</v>
      </c>
      <c r="AE33" s="78">
        <f>'Tables 6-8 Local Wealth'!BI33</f>
        <v>157739049</v>
      </c>
      <c r="AF33" s="78">
        <f t="shared" si="31"/>
        <v>35981212.5161569</v>
      </c>
      <c r="AG33" s="86">
        <f t="shared" si="32"/>
        <v>0</v>
      </c>
      <c r="AH33" s="78">
        <f t="shared" si="33"/>
        <v>70819223</v>
      </c>
      <c r="AI33" s="78">
        <f t="shared" si="34"/>
        <v>35981212.5161569</v>
      </c>
      <c r="AJ33" s="83">
        <f t="shared" si="35"/>
        <v>985189.6341423385</v>
      </c>
      <c r="AK33" s="82">
        <f t="shared" si="36"/>
        <v>0.027380668000000052</v>
      </c>
      <c r="AL33" s="78">
        <f t="shared" si="37"/>
        <v>953887.9988386291</v>
      </c>
      <c r="AM33" s="78">
        <f t="shared" si="38"/>
        <v>36966402.150299236</v>
      </c>
      <c r="AN33" s="78">
        <f t="shared" si="39"/>
        <v>93831060.15029924</v>
      </c>
      <c r="AO33" s="78">
        <f t="shared" si="40"/>
        <v>1826.53754</v>
      </c>
      <c r="AP33" s="78">
        <v>127320951</v>
      </c>
      <c r="AQ33" s="73">
        <v>53052</v>
      </c>
      <c r="AR33" s="163">
        <f t="shared" si="41"/>
        <v>2399.93</v>
      </c>
      <c r="AS33" s="82">
        <f t="shared" si="1"/>
        <v>1.3139231729121756</v>
      </c>
      <c r="AT33" s="310">
        <f t="shared" si="42"/>
        <v>0</v>
      </c>
      <c r="AU33" s="78">
        <f t="shared" si="2"/>
        <v>-4034146.97</v>
      </c>
      <c r="AV33" s="78">
        <f t="shared" si="43"/>
        <v>29455744.06269999</v>
      </c>
      <c r="AW33" s="77">
        <f t="shared" si="3"/>
        <v>51371</v>
      </c>
      <c r="AX33" s="78">
        <f t="shared" si="44"/>
        <v>573.3924600007784</v>
      </c>
      <c r="AY33" s="78">
        <f t="shared" si="4"/>
        <v>123286804.02999999</v>
      </c>
      <c r="AZ33" s="78">
        <f t="shared" si="45"/>
        <v>93831059.9673</v>
      </c>
      <c r="BA33" s="78">
        <f t="shared" si="46"/>
        <v>123286804.02999999</v>
      </c>
      <c r="BB33" s="78">
        <f t="shared" si="5"/>
        <v>2399.93</v>
      </c>
      <c r="BC33" s="82">
        <f t="shared" si="6"/>
        <v>1.3139231729121756</v>
      </c>
      <c r="BD33" s="82">
        <f t="shared" si="47"/>
        <v>0.49</v>
      </c>
      <c r="BE33" s="78">
        <f t="shared" si="7"/>
        <v>128283304.94</v>
      </c>
      <c r="BF33" s="78">
        <f t="shared" si="8"/>
        <v>2497.19</v>
      </c>
      <c r="BG33" s="82">
        <f t="shared" si="48"/>
        <v>0.5099</v>
      </c>
      <c r="BH33" s="78">
        <f t="shared" si="49"/>
        <v>251570108.97</v>
      </c>
      <c r="BI33" s="78">
        <f t="shared" si="9"/>
        <v>4897.12</v>
      </c>
      <c r="BJ33" s="77">
        <v>54029</v>
      </c>
      <c r="BK33" s="7">
        <v>26</v>
      </c>
      <c r="BL33" s="77" t="s">
        <v>32</v>
      </c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1:164" s="7" customFormat="1" ht="12.75">
      <c r="A34" s="76">
        <v>27</v>
      </c>
      <c r="B34" s="77" t="s">
        <v>33</v>
      </c>
      <c r="C34" s="77">
        <v>5962</v>
      </c>
      <c r="D34" s="77">
        <v>3505</v>
      </c>
      <c r="E34" s="78">
        <f t="shared" si="10"/>
        <v>1799467</v>
      </c>
      <c r="F34" s="79">
        <f t="shared" si="11"/>
        <v>595.85</v>
      </c>
      <c r="G34" s="77">
        <v>2174</v>
      </c>
      <c r="H34" s="78">
        <f t="shared" si="12"/>
        <v>329180</v>
      </c>
      <c r="I34" s="77">
        <f t="shared" si="13"/>
        <v>109</v>
      </c>
      <c r="J34" s="77">
        <v>999</v>
      </c>
      <c r="K34" s="78">
        <f t="shared" si="14"/>
        <v>4526980</v>
      </c>
      <c r="L34" s="77">
        <f t="shared" si="15"/>
        <v>1499</v>
      </c>
      <c r="M34" s="77">
        <v>154</v>
      </c>
      <c r="N34" s="78">
        <f t="shared" si="16"/>
        <v>277840</v>
      </c>
      <c r="O34" s="77">
        <f t="shared" si="17"/>
        <v>92</v>
      </c>
      <c r="P34" s="77">
        <f t="shared" si="18"/>
        <v>1538</v>
      </c>
      <c r="Q34" s="74">
        <f t="shared" si="19"/>
        <v>0.04101</v>
      </c>
      <c r="R34" s="78">
        <f t="shared" si="20"/>
        <v>739900</v>
      </c>
      <c r="S34" s="77">
        <f t="shared" si="21"/>
        <v>245</v>
      </c>
      <c r="T34" s="77">
        <f t="shared" si="22"/>
        <v>2540.85</v>
      </c>
      <c r="U34" s="77">
        <f t="shared" si="23"/>
        <v>8502.85</v>
      </c>
      <c r="V34" s="78">
        <f t="shared" si="24"/>
        <v>3020</v>
      </c>
      <c r="W34" s="78">
        <f t="shared" si="25"/>
        <v>25678607</v>
      </c>
      <c r="X34" s="81">
        <f>'Tables 6-8 Local Wealth'!M34</f>
        <v>0.68297705</v>
      </c>
      <c r="Y34" s="81">
        <f t="shared" si="26"/>
        <v>0.00856173</v>
      </c>
      <c r="Z34" s="81">
        <f t="shared" si="27"/>
        <v>0.00584747</v>
      </c>
      <c r="AA34" s="78">
        <f t="shared" si="0"/>
        <v>6138269.985001048</v>
      </c>
      <c r="AB34" s="82">
        <f t="shared" si="28"/>
        <v>0.239</v>
      </c>
      <c r="AC34" s="83">
        <f t="shared" si="29"/>
        <v>19540337.01499895</v>
      </c>
      <c r="AD34" s="82">
        <f t="shared" si="30"/>
        <v>0.761</v>
      </c>
      <c r="AE34" s="78">
        <f>'Tables 6-8 Local Wealth'!BI34</f>
        <v>9382343</v>
      </c>
      <c r="AF34" s="78">
        <f t="shared" si="31"/>
        <v>3244073.014998952</v>
      </c>
      <c r="AG34" s="86">
        <f t="shared" si="32"/>
        <v>0</v>
      </c>
      <c r="AH34" s="78">
        <f t="shared" si="33"/>
        <v>8473940</v>
      </c>
      <c r="AI34" s="78">
        <f t="shared" si="34"/>
        <v>3244073.014998952</v>
      </c>
      <c r="AJ34" s="83">
        <f t="shared" si="35"/>
        <v>1914696.5643377982</v>
      </c>
      <c r="AK34" s="82">
        <f t="shared" si="36"/>
        <v>0.5902137700000001</v>
      </c>
      <c r="AL34" s="78">
        <f t="shared" si="37"/>
        <v>3086739.509816002</v>
      </c>
      <c r="AM34" s="78">
        <f t="shared" si="38"/>
        <v>5158769.57933675</v>
      </c>
      <c r="AN34" s="78">
        <f t="shared" si="39"/>
        <v>21455033.579336748</v>
      </c>
      <c r="AO34" s="78">
        <f t="shared" si="40"/>
        <v>3598.63025</v>
      </c>
      <c r="AP34" s="78">
        <v>20123739</v>
      </c>
      <c r="AQ34" s="73">
        <v>6092</v>
      </c>
      <c r="AR34" s="163">
        <f t="shared" si="41"/>
        <v>3303.31</v>
      </c>
      <c r="AS34" s="82">
        <f t="shared" si="1"/>
        <v>0.9179353727713482</v>
      </c>
      <c r="AT34" s="310">
        <f t="shared" si="42"/>
        <v>1331294.5793367475</v>
      </c>
      <c r="AU34" s="78">
        <f t="shared" si="2"/>
        <v>1331294.5505</v>
      </c>
      <c r="AV34" s="78">
        <f t="shared" si="43"/>
        <v>0</v>
      </c>
      <c r="AW34" s="77">
        <f t="shared" si="3"/>
        <v>0</v>
      </c>
      <c r="AX34" s="78">
        <f t="shared" si="44"/>
        <v>0</v>
      </c>
      <c r="AY34" s="78">
        <f t="shared" si="4"/>
        <v>19694334.22</v>
      </c>
      <c r="AZ34" s="78">
        <f t="shared" si="45"/>
        <v>21455033.5505</v>
      </c>
      <c r="BA34" s="78">
        <f t="shared" si="46"/>
        <v>21455033.5505</v>
      </c>
      <c r="BB34" s="78">
        <f t="shared" si="5"/>
        <v>3598.63</v>
      </c>
      <c r="BC34" s="82">
        <f t="shared" si="6"/>
        <v>0.9999999305291228</v>
      </c>
      <c r="BD34" s="82">
        <f t="shared" si="47"/>
        <v>0.7</v>
      </c>
      <c r="BE34" s="78">
        <f t="shared" si="7"/>
        <v>9382343</v>
      </c>
      <c r="BF34" s="78">
        <f t="shared" si="8"/>
        <v>1573.69</v>
      </c>
      <c r="BG34" s="82">
        <f t="shared" si="48"/>
        <v>0.3043</v>
      </c>
      <c r="BH34" s="78">
        <f t="shared" si="49"/>
        <v>30837376.55</v>
      </c>
      <c r="BI34" s="78">
        <f t="shared" si="9"/>
        <v>5172.32</v>
      </c>
      <c r="BJ34" s="77">
        <v>6239</v>
      </c>
      <c r="BK34" s="7">
        <v>27</v>
      </c>
      <c r="BL34" s="77" t="s">
        <v>33</v>
      </c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</row>
    <row r="35" spans="1:164" s="7" customFormat="1" ht="12.75">
      <c r="A35" s="76">
        <v>28</v>
      </c>
      <c r="B35" s="77" t="s">
        <v>34</v>
      </c>
      <c r="C35" s="77">
        <v>29767</v>
      </c>
      <c r="D35" s="77">
        <v>13704</v>
      </c>
      <c r="E35" s="78">
        <f t="shared" si="10"/>
        <v>7035634</v>
      </c>
      <c r="F35" s="79">
        <f t="shared" si="11"/>
        <v>2329.68</v>
      </c>
      <c r="G35" s="77">
        <v>6042</v>
      </c>
      <c r="H35" s="78">
        <f t="shared" si="12"/>
        <v>912040</v>
      </c>
      <c r="I35" s="77">
        <f t="shared" si="13"/>
        <v>302</v>
      </c>
      <c r="J35" s="77">
        <v>3195</v>
      </c>
      <c r="K35" s="78">
        <f t="shared" si="14"/>
        <v>14474860</v>
      </c>
      <c r="L35" s="77">
        <f t="shared" si="15"/>
        <v>4793</v>
      </c>
      <c r="M35" s="77">
        <v>1306</v>
      </c>
      <c r="N35" s="78">
        <f t="shared" si="16"/>
        <v>2367680</v>
      </c>
      <c r="O35" s="77">
        <f t="shared" si="17"/>
        <v>784</v>
      </c>
      <c r="P35" s="77">
        <f t="shared" si="18"/>
        <v>0</v>
      </c>
      <c r="Q35" s="74">
        <f t="shared" si="19"/>
        <v>0</v>
      </c>
      <c r="R35" s="78">
        <f t="shared" si="20"/>
        <v>0</v>
      </c>
      <c r="S35" s="77">
        <f t="shared" si="21"/>
        <v>0</v>
      </c>
      <c r="T35" s="77">
        <f t="shared" si="22"/>
        <v>8208.68</v>
      </c>
      <c r="U35" s="77">
        <f t="shared" si="23"/>
        <v>37975.68</v>
      </c>
      <c r="V35" s="78">
        <f t="shared" si="24"/>
        <v>3020</v>
      </c>
      <c r="W35" s="78">
        <f t="shared" si="25"/>
        <v>114686554</v>
      </c>
      <c r="X35" s="81">
        <f>'Tables 6-8 Local Wealth'!M35</f>
        <v>1.34308831</v>
      </c>
      <c r="Y35" s="81">
        <f t="shared" si="26"/>
        <v>0.03823865</v>
      </c>
      <c r="Z35" s="81">
        <f t="shared" si="27"/>
        <v>0.05135788</v>
      </c>
      <c r="AA35" s="78">
        <f t="shared" si="0"/>
        <v>53911953.93858979</v>
      </c>
      <c r="AB35" s="82">
        <f t="shared" si="28"/>
        <v>0.4701</v>
      </c>
      <c r="AC35" s="83">
        <f t="shared" si="29"/>
        <v>60774600.06141021</v>
      </c>
      <c r="AD35" s="82">
        <f t="shared" si="30"/>
        <v>0.5299</v>
      </c>
      <c r="AE35" s="78">
        <f>'Tables 6-8 Local Wealth'!BI35</f>
        <v>69104370</v>
      </c>
      <c r="AF35" s="78">
        <f t="shared" si="31"/>
        <v>15192416.061410211</v>
      </c>
      <c r="AG35" s="86">
        <f t="shared" si="32"/>
        <v>0</v>
      </c>
      <c r="AH35" s="78">
        <f t="shared" si="33"/>
        <v>37846563</v>
      </c>
      <c r="AI35" s="78">
        <f t="shared" si="34"/>
        <v>15192416.061410211</v>
      </c>
      <c r="AJ35" s="83">
        <f t="shared" si="35"/>
        <v>2949562.2137684333</v>
      </c>
      <c r="AK35" s="82">
        <f t="shared" si="36"/>
        <v>0.194147014</v>
      </c>
      <c r="AL35" s="78">
        <f t="shared" si="37"/>
        <v>4398234.98284445</v>
      </c>
      <c r="AM35" s="78">
        <f t="shared" si="38"/>
        <v>18141978.275178645</v>
      </c>
      <c r="AN35" s="78">
        <f t="shared" si="39"/>
        <v>63724162.27517864</v>
      </c>
      <c r="AO35" s="78">
        <f t="shared" si="40"/>
        <v>2140.76535</v>
      </c>
      <c r="AP35" s="78">
        <v>71824345</v>
      </c>
      <c r="AQ35" s="73">
        <v>30479</v>
      </c>
      <c r="AR35" s="163">
        <f t="shared" si="41"/>
        <v>2356.52</v>
      </c>
      <c r="AS35" s="82">
        <f t="shared" si="1"/>
        <v>1.1007838855388798</v>
      </c>
      <c r="AT35" s="310">
        <f t="shared" si="42"/>
        <v>0</v>
      </c>
      <c r="AU35" s="78">
        <f t="shared" si="2"/>
        <v>-1677814.16</v>
      </c>
      <c r="AV35" s="78">
        <f t="shared" si="43"/>
        <v>6422368.666500002</v>
      </c>
      <c r="AW35" s="77">
        <f t="shared" si="3"/>
        <v>29767</v>
      </c>
      <c r="AX35" s="78">
        <f t="shared" si="44"/>
        <v>215.75464999832036</v>
      </c>
      <c r="AY35" s="78">
        <f t="shared" si="4"/>
        <v>70146530.84</v>
      </c>
      <c r="AZ35" s="78">
        <f t="shared" si="45"/>
        <v>63724162.1735</v>
      </c>
      <c r="BA35" s="78">
        <f t="shared" si="46"/>
        <v>70146530.84</v>
      </c>
      <c r="BB35" s="78">
        <f t="shared" si="5"/>
        <v>2356.52</v>
      </c>
      <c r="BC35" s="82">
        <f t="shared" si="6"/>
        <v>1.1007838855388798</v>
      </c>
      <c r="BD35" s="82">
        <f t="shared" si="47"/>
        <v>0.53</v>
      </c>
      <c r="BE35" s="78">
        <f t="shared" si="7"/>
        <v>62682001.33</v>
      </c>
      <c r="BF35" s="78">
        <f t="shared" si="8"/>
        <v>2105.75</v>
      </c>
      <c r="BG35" s="82">
        <f t="shared" si="48"/>
        <v>0.4719</v>
      </c>
      <c r="BH35" s="78">
        <f t="shared" si="49"/>
        <v>132828532.17</v>
      </c>
      <c r="BI35" s="78">
        <f t="shared" si="9"/>
        <v>4462.27</v>
      </c>
      <c r="BJ35" s="77">
        <v>30450</v>
      </c>
      <c r="BK35" s="7">
        <v>28</v>
      </c>
      <c r="BL35" s="77" t="s">
        <v>34</v>
      </c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1:164" s="7" customFormat="1" ht="12.75">
      <c r="A36" s="76">
        <v>29</v>
      </c>
      <c r="B36" s="77" t="s">
        <v>35</v>
      </c>
      <c r="C36" s="77">
        <v>15351</v>
      </c>
      <c r="D36" s="77">
        <v>8424</v>
      </c>
      <c r="E36" s="78">
        <f t="shared" si="10"/>
        <v>4324882</v>
      </c>
      <c r="F36" s="79">
        <f t="shared" si="11"/>
        <v>1432.08</v>
      </c>
      <c r="G36" s="77">
        <v>4312</v>
      </c>
      <c r="H36" s="78">
        <f t="shared" si="12"/>
        <v>652320</v>
      </c>
      <c r="I36" s="77">
        <f t="shared" si="13"/>
        <v>216</v>
      </c>
      <c r="J36" s="77">
        <v>2268</v>
      </c>
      <c r="K36" s="78">
        <f t="shared" si="14"/>
        <v>10274040</v>
      </c>
      <c r="L36" s="77">
        <f t="shared" si="15"/>
        <v>3402</v>
      </c>
      <c r="M36" s="77">
        <v>164</v>
      </c>
      <c r="N36" s="78">
        <f t="shared" si="16"/>
        <v>295960</v>
      </c>
      <c r="O36" s="77">
        <f t="shared" si="17"/>
        <v>98</v>
      </c>
      <c r="P36" s="77">
        <f t="shared" si="18"/>
        <v>0</v>
      </c>
      <c r="Q36" s="74">
        <f t="shared" si="19"/>
        <v>0</v>
      </c>
      <c r="R36" s="78">
        <f t="shared" si="20"/>
        <v>0</v>
      </c>
      <c r="S36" s="77">
        <f t="shared" si="21"/>
        <v>0</v>
      </c>
      <c r="T36" s="77">
        <f t="shared" si="22"/>
        <v>5148.08</v>
      </c>
      <c r="U36" s="77">
        <f t="shared" si="23"/>
        <v>20499.08</v>
      </c>
      <c r="V36" s="78">
        <f t="shared" si="24"/>
        <v>3020</v>
      </c>
      <c r="W36" s="78">
        <f t="shared" si="25"/>
        <v>61907222</v>
      </c>
      <c r="X36" s="81">
        <f>'Tables 6-8 Local Wealth'!M36</f>
        <v>0.8103007</v>
      </c>
      <c r="Y36" s="81">
        <f t="shared" si="26"/>
        <v>0.02064103</v>
      </c>
      <c r="Z36" s="81">
        <f t="shared" si="27"/>
        <v>0.01672544</v>
      </c>
      <c r="AA36" s="78">
        <f t="shared" si="0"/>
        <v>17557211.296156447</v>
      </c>
      <c r="AB36" s="82">
        <f t="shared" si="28"/>
        <v>0.2836</v>
      </c>
      <c r="AC36" s="83">
        <f t="shared" si="29"/>
        <v>44350010.70384355</v>
      </c>
      <c r="AD36" s="82">
        <f t="shared" si="30"/>
        <v>0.7164</v>
      </c>
      <c r="AE36" s="78">
        <f>'Tables 6-8 Local Wealth'!BI36</f>
        <v>29024119</v>
      </c>
      <c r="AF36" s="78">
        <f t="shared" si="31"/>
        <v>11466907.703843553</v>
      </c>
      <c r="AG36" s="86">
        <f t="shared" si="32"/>
        <v>0</v>
      </c>
      <c r="AH36" s="78">
        <f t="shared" si="33"/>
        <v>20429383</v>
      </c>
      <c r="AI36" s="78">
        <f t="shared" si="34"/>
        <v>11466907.703843553</v>
      </c>
      <c r="AJ36" s="83">
        <f t="shared" si="35"/>
        <v>5891921.70028766</v>
      </c>
      <c r="AK36" s="82">
        <f t="shared" si="36"/>
        <v>0.51381958</v>
      </c>
      <c r="AL36" s="78">
        <f t="shared" si="37"/>
        <v>4605095.292431482</v>
      </c>
      <c r="AM36" s="78">
        <f t="shared" si="38"/>
        <v>17358829.40413121</v>
      </c>
      <c r="AN36" s="78">
        <f t="shared" si="39"/>
        <v>50241932.40413121</v>
      </c>
      <c r="AO36" s="78">
        <f t="shared" si="40"/>
        <v>3272.87684</v>
      </c>
      <c r="AP36" s="78">
        <v>50469982</v>
      </c>
      <c r="AQ36" s="73">
        <v>15713</v>
      </c>
      <c r="AR36" s="163">
        <f t="shared" si="41"/>
        <v>3211.99</v>
      </c>
      <c r="AS36" s="82">
        <f t="shared" si="1"/>
        <v>0.9813965379766627</v>
      </c>
      <c r="AT36" s="310">
        <f t="shared" si="42"/>
        <v>0</v>
      </c>
      <c r="AU36" s="78">
        <f t="shared" si="2"/>
        <v>-228049.6292</v>
      </c>
      <c r="AV36" s="78">
        <f t="shared" si="43"/>
        <v>0</v>
      </c>
      <c r="AW36" s="77">
        <f t="shared" si="3"/>
        <v>0</v>
      </c>
      <c r="AX36" s="78">
        <f t="shared" si="44"/>
        <v>0</v>
      </c>
      <c r="AY36" s="78">
        <f t="shared" si="4"/>
        <v>49307258.489999995</v>
      </c>
      <c r="AZ36" s="78">
        <f t="shared" si="45"/>
        <v>50241932.3708</v>
      </c>
      <c r="BA36" s="78">
        <f t="shared" si="46"/>
        <v>50241932.3708</v>
      </c>
      <c r="BB36" s="78">
        <f t="shared" si="5"/>
        <v>3272.88</v>
      </c>
      <c r="BC36" s="82">
        <f t="shared" si="6"/>
        <v>1.0000009655114306</v>
      </c>
      <c r="BD36" s="82">
        <f t="shared" si="47"/>
        <v>0.63</v>
      </c>
      <c r="BE36" s="78">
        <f t="shared" si="7"/>
        <v>29024119</v>
      </c>
      <c r="BF36" s="78">
        <f t="shared" si="8"/>
        <v>1890.7</v>
      </c>
      <c r="BG36" s="82">
        <f t="shared" si="48"/>
        <v>0.3662</v>
      </c>
      <c r="BH36" s="78">
        <f t="shared" si="49"/>
        <v>79266051.37</v>
      </c>
      <c r="BI36" s="78">
        <f t="shared" si="9"/>
        <v>5163.58</v>
      </c>
      <c r="BJ36" s="77">
        <v>15938</v>
      </c>
      <c r="BK36" s="7">
        <v>29</v>
      </c>
      <c r="BL36" s="77" t="s">
        <v>35</v>
      </c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</row>
    <row r="37" spans="1:164" s="124" customFormat="1" ht="12.75">
      <c r="A37" s="115">
        <v>30</v>
      </c>
      <c r="B37" s="116" t="s">
        <v>36</v>
      </c>
      <c r="C37" s="116">
        <v>2615</v>
      </c>
      <c r="D37" s="116">
        <v>1275</v>
      </c>
      <c r="E37" s="117">
        <f t="shared" si="10"/>
        <v>654585</v>
      </c>
      <c r="F37" s="118">
        <f t="shared" si="11"/>
        <v>216.75</v>
      </c>
      <c r="G37" s="116">
        <v>1254</v>
      </c>
      <c r="H37" s="117">
        <f t="shared" si="12"/>
        <v>190260</v>
      </c>
      <c r="I37" s="116">
        <f t="shared" si="13"/>
        <v>63</v>
      </c>
      <c r="J37" s="116">
        <v>206</v>
      </c>
      <c r="K37" s="117">
        <f t="shared" si="14"/>
        <v>933180</v>
      </c>
      <c r="L37" s="116">
        <f t="shared" si="15"/>
        <v>309</v>
      </c>
      <c r="M37" s="116">
        <v>29</v>
      </c>
      <c r="N37" s="117">
        <f t="shared" si="16"/>
        <v>51340</v>
      </c>
      <c r="O37" s="116">
        <f t="shared" si="17"/>
        <v>17</v>
      </c>
      <c r="P37" s="116">
        <f t="shared" si="18"/>
        <v>4885</v>
      </c>
      <c r="Q37" s="119">
        <f t="shared" si="19"/>
        <v>0.13027</v>
      </c>
      <c r="R37" s="117">
        <f t="shared" si="20"/>
        <v>1029820</v>
      </c>
      <c r="S37" s="116">
        <f t="shared" si="21"/>
        <v>341</v>
      </c>
      <c r="T37" s="116">
        <f t="shared" si="22"/>
        <v>946.75</v>
      </c>
      <c r="U37" s="116">
        <f t="shared" si="23"/>
        <v>3561.75</v>
      </c>
      <c r="V37" s="117">
        <f t="shared" si="24"/>
        <v>3020</v>
      </c>
      <c r="W37" s="117">
        <f t="shared" si="25"/>
        <v>10756485</v>
      </c>
      <c r="X37" s="121">
        <f>'Tables 6-8 Local Wealth'!M37</f>
        <v>0.66165718</v>
      </c>
      <c r="Y37" s="121">
        <f t="shared" si="26"/>
        <v>0.00358641</v>
      </c>
      <c r="Z37" s="121">
        <f t="shared" si="27"/>
        <v>0.00237297</v>
      </c>
      <c r="AA37" s="117">
        <f t="shared" si="0"/>
        <v>2490979.949671899</v>
      </c>
      <c r="AB37" s="122">
        <f t="shared" si="28"/>
        <v>0.2316</v>
      </c>
      <c r="AC37" s="123">
        <f t="shared" si="29"/>
        <v>8265505.050328101</v>
      </c>
      <c r="AD37" s="122">
        <f t="shared" si="30"/>
        <v>0.7684</v>
      </c>
      <c r="AE37" s="117">
        <f>'Tables 6-8 Local Wealth'!BI37</f>
        <v>4069118</v>
      </c>
      <c r="AF37" s="117">
        <f t="shared" si="31"/>
        <v>1578138.050328101</v>
      </c>
      <c r="AG37" s="179">
        <f t="shared" si="32"/>
        <v>0</v>
      </c>
      <c r="AH37" s="117">
        <f t="shared" si="33"/>
        <v>3549640</v>
      </c>
      <c r="AI37" s="117">
        <f t="shared" si="34"/>
        <v>1578138.050328101</v>
      </c>
      <c r="AJ37" s="123">
        <f t="shared" si="35"/>
        <v>951626.2271096273</v>
      </c>
      <c r="AK37" s="122">
        <f t="shared" si="36"/>
        <v>0.603005692</v>
      </c>
      <c r="AL37" s="117">
        <f t="shared" si="37"/>
        <v>1188826.8974412526</v>
      </c>
      <c r="AM37" s="117">
        <f t="shared" si="38"/>
        <v>2529764.2774377284</v>
      </c>
      <c r="AN37" s="117">
        <f t="shared" si="39"/>
        <v>9217131.277437728</v>
      </c>
      <c r="AO37" s="117">
        <f t="shared" si="40"/>
        <v>3524.71559</v>
      </c>
      <c r="AP37" s="117">
        <v>9527182</v>
      </c>
      <c r="AQ37" s="162">
        <v>2883</v>
      </c>
      <c r="AR37" s="164">
        <f t="shared" si="41"/>
        <v>3304.61</v>
      </c>
      <c r="AS37" s="122">
        <f t="shared" si="1"/>
        <v>0.9375536594712881</v>
      </c>
      <c r="AT37" s="311">
        <f t="shared" si="42"/>
        <v>0</v>
      </c>
      <c r="AU37" s="117">
        <f t="shared" si="2"/>
        <v>-310050.7321</v>
      </c>
      <c r="AV37" s="117">
        <f t="shared" si="43"/>
        <v>0</v>
      </c>
      <c r="AW37" s="116">
        <f t="shared" si="3"/>
        <v>0</v>
      </c>
      <c r="AX37" s="117">
        <f t="shared" si="44"/>
        <v>0</v>
      </c>
      <c r="AY37" s="117">
        <f t="shared" si="4"/>
        <v>8641555.15</v>
      </c>
      <c r="AZ37" s="117">
        <f t="shared" si="45"/>
        <v>9217131.2679</v>
      </c>
      <c r="BA37" s="117">
        <f t="shared" si="46"/>
        <v>9217131.2679</v>
      </c>
      <c r="BB37" s="117">
        <f t="shared" si="5"/>
        <v>3524.72</v>
      </c>
      <c r="BC37" s="122">
        <f t="shared" si="6"/>
        <v>1.0000012511647784</v>
      </c>
      <c r="BD37" s="122">
        <f t="shared" si="47"/>
        <v>0.69</v>
      </c>
      <c r="BE37" s="117">
        <f t="shared" si="7"/>
        <v>4069118</v>
      </c>
      <c r="BF37" s="117">
        <f t="shared" si="8"/>
        <v>1556.07</v>
      </c>
      <c r="BG37" s="122">
        <f t="shared" si="48"/>
        <v>0.3063</v>
      </c>
      <c r="BH37" s="117">
        <f t="shared" si="49"/>
        <v>13286249.27</v>
      </c>
      <c r="BI37" s="117">
        <f t="shared" si="9"/>
        <v>5080.78</v>
      </c>
      <c r="BJ37" s="116">
        <v>2729</v>
      </c>
      <c r="BK37" s="124">
        <v>30</v>
      </c>
      <c r="BL37" s="116" t="s">
        <v>36</v>
      </c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1:164" s="7" customFormat="1" ht="12.75">
      <c r="A38" s="76">
        <v>31</v>
      </c>
      <c r="B38" s="77" t="s">
        <v>37</v>
      </c>
      <c r="C38" s="77">
        <v>6755</v>
      </c>
      <c r="D38" s="77">
        <v>3505</v>
      </c>
      <c r="E38" s="78">
        <f t="shared" si="10"/>
        <v>1799467</v>
      </c>
      <c r="F38" s="79">
        <f t="shared" si="11"/>
        <v>595.85</v>
      </c>
      <c r="G38" s="77">
        <v>2049</v>
      </c>
      <c r="H38" s="78">
        <f t="shared" si="12"/>
        <v>308040</v>
      </c>
      <c r="I38" s="77">
        <f t="shared" si="13"/>
        <v>102</v>
      </c>
      <c r="J38" s="77">
        <v>691</v>
      </c>
      <c r="K38" s="78">
        <f t="shared" si="14"/>
        <v>3131740</v>
      </c>
      <c r="L38" s="77">
        <f t="shared" si="15"/>
        <v>1037</v>
      </c>
      <c r="M38" s="77">
        <v>178</v>
      </c>
      <c r="N38" s="78">
        <f t="shared" si="16"/>
        <v>323140</v>
      </c>
      <c r="O38" s="77">
        <f t="shared" si="17"/>
        <v>107</v>
      </c>
      <c r="P38" s="77">
        <f t="shared" si="18"/>
        <v>745</v>
      </c>
      <c r="Q38" s="74">
        <f t="shared" si="19"/>
        <v>0.01987</v>
      </c>
      <c r="R38" s="78">
        <f t="shared" si="20"/>
        <v>404680</v>
      </c>
      <c r="S38" s="77">
        <f t="shared" si="21"/>
        <v>134</v>
      </c>
      <c r="T38" s="77">
        <f t="shared" si="22"/>
        <v>1975.85</v>
      </c>
      <c r="U38" s="77">
        <f t="shared" si="23"/>
        <v>8730.85</v>
      </c>
      <c r="V38" s="78">
        <f t="shared" si="24"/>
        <v>3020</v>
      </c>
      <c r="W38" s="78">
        <f t="shared" si="25"/>
        <v>26367167</v>
      </c>
      <c r="X38" s="81">
        <f>'Tables 6-8 Local Wealth'!M38</f>
        <v>0.95997694</v>
      </c>
      <c r="Y38" s="81">
        <f t="shared" si="26"/>
        <v>0.00879131</v>
      </c>
      <c r="Z38" s="81">
        <f t="shared" si="27"/>
        <v>0.00843945</v>
      </c>
      <c r="AA38" s="78">
        <f t="shared" si="0"/>
        <v>8859151.500549313</v>
      </c>
      <c r="AB38" s="82">
        <f t="shared" si="28"/>
        <v>0.336</v>
      </c>
      <c r="AC38" s="83">
        <f t="shared" si="29"/>
        <v>17508015.499450687</v>
      </c>
      <c r="AD38" s="82">
        <f t="shared" si="30"/>
        <v>0.664</v>
      </c>
      <c r="AE38" s="78">
        <f>'Tables 6-8 Local Wealth'!BI38</f>
        <v>12716014</v>
      </c>
      <c r="AF38" s="78">
        <f t="shared" si="31"/>
        <v>3856862.4994506873</v>
      </c>
      <c r="AG38" s="86">
        <f t="shared" si="32"/>
        <v>0</v>
      </c>
      <c r="AH38" s="78">
        <f t="shared" si="33"/>
        <v>8701165</v>
      </c>
      <c r="AI38" s="78">
        <f t="shared" si="34"/>
        <v>3856862.4994506873</v>
      </c>
      <c r="AJ38" s="83">
        <f t="shared" si="35"/>
        <v>1635363.0633166337</v>
      </c>
      <c r="AK38" s="82">
        <f t="shared" si="36"/>
        <v>0.424013836</v>
      </c>
      <c r="AL38" s="78">
        <f t="shared" si="37"/>
        <v>2054051.286002306</v>
      </c>
      <c r="AM38" s="78">
        <f t="shared" si="38"/>
        <v>5492225.562767321</v>
      </c>
      <c r="AN38" s="78">
        <f t="shared" si="39"/>
        <v>19143378.56276732</v>
      </c>
      <c r="AO38" s="78">
        <f t="shared" si="40"/>
        <v>2833.95686</v>
      </c>
      <c r="AP38" s="78">
        <v>18231422</v>
      </c>
      <c r="AQ38" s="73">
        <v>6765</v>
      </c>
      <c r="AR38" s="163">
        <f t="shared" si="41"/>
        <v>2694.96</v>
      </c>
      <c r="AS38" s="82">
        <f t="shared" si="1"/>
        <v>0.950953078375371</v>
      </c>
      <c r="AT38" s="310">
        <f t="shared" si="42"/>
        <v>911956.5627673194</v>
      </c>
      <c r="AU38" s="78">
        <f t="shared" si="2"/>
        <v>911956.5893</v>
      </c>
      <c r="AV38" s="78">
        <f t="shared" si="43"/>
        <v>0</v>
      </c>
      <c r="AW38" s="77">
        <f t="shared" si="3"/>
        <v>0</v>
      </c>
      <c r="AX38" s="78">
        <f t="shared" si="44"/>
        <v>0</v>
      </c>
      <c r="AY38" s="78">
        <f t="shared" si="4"/>
        <v>18204454.8</v>
      </c>
      <c r="AZ38" s="78">
        <f t="shared" si="45"/>
        <v>19143378.5893</v>
      </c>
      <c r="BA38" s="78">
        <f t="shared" si="46"/>
        <v>19143378.5893</v>
      </c>
      <c r="BB38" s="78">
        <f t="shared" si="5"/>
        <v>2833.96</v>
      </c>
      <c r="BC38" s="82">
        <f t="shared" si="6"/>
        <v>1.0000011079914606</v>
      </c>
      <c r="BD38" s="82">
        <f t="shared" si="47"/>
        <v>0.6</v>
      </c>
      <c r="BE38" s="78">
        <f t="shared" si="7"/>
        <v>12716014</v>
      </c>
      <c r="BF38" s="78">
        <f t="shared" si="8"/>
        <v>1882.46</v>
      </c>
      <c r="BG38" s="82">
        <f t="shared" si="48"/>
        <v>0.3991</v>
      </c>
      <c r="BH38" s="78">
        <f t="shared" si="49"/>
        <v>31859392.59</v>
      </c>
      <c r="BI38" s="78">
        <f t="shared" si="9"/>
        <v>4716.42</v>
      </c>
      <c r="BJ38" s="77">
        <v>6945</v>
      </c>
      <c r="BK38" s="7">
        <v>31</v>
      </c>
      <c r="BL38" s="77" t="s">
        <v>37</v>
      </c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</row>
    <row r="39" spans="1:164" s="7" customFormat="1" ht="12.75">
      <c r="A39" s="76">
        <v>32</v>
      </c>
      <c r="B39" s="77" t="s">
        <v>38</v>
      </c>
      <c r="C39" s="77">
        <v>19428</v>
      </c>
      <c r="D39" s="77">
        <v>7574</v>
      </c>
      <c r="E39" s="78">
        <f t="shared" si="10"/>
        <v>3888492</v>
      </c>
      <c r="F39" s="79">
        <f t="shared" si="11"/>
        <v>1287.58</v>
      </c>
      <c r="G39" s="77">
        <v>4763</v>
      </c>
      <c r="H39" s="78">
        <f t="shared" si="12"/>
        <v>718760</v>
      </c>
      <c r="I39" s="77">
        <f t="shared" si="13"/>
        <v>238</v>
      </c>
      <c r="J39" s="77">
        <v>1811</v>
      </c>
      <c r="K39" s="78">
        <f t="shared" si="14"/>
        <v>8205340</v>
      </c>
      <c r="L39" s="77">
        <f t="shared" si="15"/>
        <v>2717</v>
      </c>
      <c r="M39" s="77">
        <v>235</v>
      </c>
      <c r="N39" s="78">
        <f t="shared" si="16"/>
        <v>425820</v>
      </c>
      <c r="O39" s="77">
        <f t="shared" si="17"/>
        <v>141</v>
      </c>
      <c r="P39" s="77">
        <f t="shared" si="18"/>
        <v>0</v>
      </c>
      <c r="Q39" s="74">
        <f t="shared" si="19"/>
        <v>0</v>
      </c>
      <c r="R39" s="78">
        <f t="shared" si="20"/>
        <v>0</v>
      </c>
      <c r="S39" s="77">
        <f t="shared" si="21"/>
        <v>0</v>
      </c>
      <c r="T39" s="77">
        <f t="shared" si="22"/>
        <v>4383.58</v>
      </c>
      <c r="U39" s="77">
        <f t="shared" si="23"/>
        <v>23811.58</v>
      </c>
      <c r="V39" s="78">
        <f t="shared" si="24"/>
        <v>3020</v>
      </c>
      <c r="W39" s="78">
        <f t="shared" si="25"/>
        <v>71910972</v>
      </c>
      <c r="X39" s="81">
        <f>'Tables 6-8 Local Wealth'!M39</f>
        <v>0.40278394</v>
      </c>
      <c r="Y39" s="81">
        <f t="shared" si="26"/>
        <v>0.02397647</v>
      </c>
      <c r="Z39" s="81">
        <f t="shared" si="27"/>
        <v>0.00965734</v>
      </c>
      <c r="AA39" s="78">
        <f t="shared" si="0"/>
        <v>10137608.274510177</v>
      </c>
      <c r="AB39" s="82">
        <f t="shared" si="28"/>
        <v>0.141</v>
      </c>
      <c r="AC39" s="83">
        <f t="shared" si="29"/>
        <v>61773363.725489825</v>
      </c>
      <c r="AD39" s="82">
        <f t="shared" si="30"/>
        <v>0.859</v>
      </c>
      <c r="AE39" s="78">
        <f>'Tables 6-8 Local Wealth'!BI39</f>
        <v>21148410</v>
      </c>
      <c r="AF39" s="78">
        <f t="shared" si="31"/>
        <v>11010801.725489823</v>
      </c>
      <c r="AG39" s="86">
        <f t="shared" si="32"/>
        <v>0</v>
      </c>
      <c r="AH39" s="78">
        <f t="shared" si="33"/>
        <v>23730621</v>
      </c>
      <c r="AI39" s="78">
        <f t="shared" si="34"/>
        <v>11010801.725489823</v>
      </c>
      <c r="AJ39" s="83">
        <f t="shared" si="35"/>
        <v>8349817.264558869</v>
      </c>
      <c r="AK39" s="82">
        <f t="shared" si="36"/>
        <v>0.758329636</v>
      </c>
      <c r="AL39" s="78">
        <f t="shared" si="37"/>
        <v>9645815.920425087</v>
      </c>
      <c r="AM39" s="78">
        <f t="shared" si="38"/>
        <v>19360618.99004869</v>
      </c>
      <c r="AN39" s="78">
        <f t="shared" si="39"/>
        <v>70123180.99004869</v>
      </c>
      <c r="AO39" s="78">
        <f t="shared" si="40"/>
        <v>3609.38753</v>
      </c>
      <c r="AP39" s="78">
        <v>65890461</v>
      </c>
      <c r="AQ39" s="73">
        <v>19185</v>
      </c>
      <c r="AR39" s="163">
        <f t="shared" si="41"/>
        <v>3434.48</v>
      </c>
      <c r="AS39" s="82">
        <f t="shared" si="1"/>
        <v>0.9515409391354549</v>
      </c>
      <c r="AT39" s="310">
        <f t="shared" si="42"/>
        <v>4232719.990048692</v>
      </c>
      <c r="AU39" s="78">
        <f t="shared" si="2"/>
        <v>4232719.9328</v>
      </c>
      <c r="AV39" s="78">
        <f t="shared" si="43"/>
        <v>0</v>
      </c>
      <c r="AW39" s="77">
        <f t="shared" si="3"/>
        <v>0</v>
      </c>
      <c r="AX39" s="78">
        <f t="shared" si="44"/>
        <v>0</v>
      </c>
      <c r="AY39" s="78">
        <f t="shared" si="4"/>
        <v>65890461</v>
      </c>
      <c r="AZ39" s="78">
        <f t="shared" si="45"/>
        <v>70123180.9328</v>
      </c>
      <c r="BA39" s="78">
        <f t="shared" si="46"/>
        <v>70123180.9328</v>
      </c>
      <c r="BB39" s="78">
        <f t="shared" si="5"/>
        <v>3609.39</v>
      </c>
      <c r="BC39" s="82">
        <f t="shared" si="6"/>
        <v>1.0000006843266287</v>
      </c>
      <c r="BD39" s="82">
        <f t="shared" si="47"/>
        <v>0.77</v>
      </c>
      <c r="BE39" s="78">
        <f t="shared" si="7"/>
        <v>21148410</v>
      </c>
      <c r="BF39" s="78">
        <f t="shared" si="8"/>
        <v>1088.55</v>
      </c>
      <c r="BG39" s="82">
        <f t="shared" si="48"/>
        <v>0.2317</v>
      </c>
      <c r="BH39" s="78">
        <f t="shared" si="49"/>
        <v>91271590.93</v>
      </c>
      <c r="BI39" s="78">
        <f t="shared" si="9"/>
        <v>4697.94</v>
      </c>
      <c r="BJ39" s="77">
        <v>18754</v>
      </c>
      <c r="BK39" s="7">
        <v>32</v>
      </c>
      <c r="BL39" s="77" t="s">
        <v>38</v>
      </c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</row>
    <row r="40" spans="1:164" s="7" customFormat="1" ht="12.75">
      <c r="A40" s="76">
        <v>33</v>
      </c>
      <c r="B40" s="77" t="s">
        <v>39</v>
      </c>
      <c r="C40" s="77">
        <v>2549</v>
      </c>
      <c r="D40" s="77">
        <v>2139</v>
      </c>
      <c r="E40" s="78">
        <f t="shared" si="10"/>
        <v>1098163</v>
      </c>
      <c r="F40" s="79">
        <f t="shared" si="11"/>
        <v>363.63</v>
      </c>
      <c r="G40" s="77">
        <v>573</v>
      </c>
      <c r="H40" s="78">
        <f t="shared" si="12"/>
        <v>87580</v>
      </c>
      <c r="I40" s="77">
        <f t="shared" si="13"/>
        <v>29</v>
      </c>
      <c r="J40" s="77">
        <v>279</v>
      </c>
      <c r="K40" s="78">
        <f t="shared" si="14"/>
        <v>1265380</v>
      </c>
      <c r="L40" s="77">
        <f t="shared" si="15"/>
        <v>419</v>
      </c>
      <c r="M40" s="77">
        <v>15</v>
      </c>
      <c r="N40" s="78">
        <f t="shared" si="16"/>
        <v>27180</v>
      </c>
      <c r="O40" s="77">
        <f t="shared" si="17"/>
        <v>9</v>
      </c>
      <c r="P40" s="77">
        <f t="shared" si="18"/>
        <v>4951</v>
      </c>
      <c r="Q40" s="74">
        <f t="shared" si="19"/>
        <v>0.13203</v>
      </c>
      <c r="R40" s="78">
        <f t="shared" si="20"/>
        <v>1017740</v>
      </c>
      <c r="S40" s="77">
        <f t="shared" si="21"/>
        <v>337</v>
      </c>
      <c r="T40" s="77">
        <f t="shared" si="22"/>
        <v>1157.63</v>
      </c>
      <c r="U40" s="77">
        <f t="shared" si="23"/>
        <v>3706.63</v>
      </c>
      <c r="V40" s="78">
        <f t="shared" si="24"/>
        <v>3020</v>
      </c>
      <c r="W40" s="78">
        <f t="shared" si="25"/>
        <v>11194023</v>
      </c>
      <c r="X40" s="81">
        <f>'Tables 6-8 Local Wealth'!M40</f>
        <v>0.52155429</v>
      </c>
      <c r="Y40" s="81">
        <f t="shared" si="26"/>
        <v>0.0037323</v>
      </c>
      <c r="Z40" s="81">
        <f t="shared" si="27"/>
        <v>0.0019466</v>
      </c>
      <c r="AA40" s="78">
        <f aca="true" t="shared" si="50" ref="AA40:AA71">IF(W$75*Z40*AA$4&lt;W40,W$75*Z40*AA$4,W40)</f>
        <v>2043406.1829822198</v>
      </c>
      <c r="AB40" s="82">
        <f t="shared" si="28"/>
        <v>0.1825</v>
      </c>
      <c r="AC40" s="83">
        <f t="shared" si="29"/>
        <v>9150616.81701778</v>
      </c>
      <c r="AD40" s="82">
        <f t="shared" si="30"/>
        <v>0.8175</v>
      </c>
      <c r="AE40" s="78">
        <f>'Tables 6-8 Local Wealth'!BI40</f>
        <v>1667248</v>
      </c>
      <c r="AF40" s="78">
        <f t="shared" si="31"/>
        <v>0</v>
      </c>
      <c r="AG40" s="86">
        <f t="shared" si="32"/>
        <v>-376158.18298221985</v>
      </c>
      <c r="AH40" s="78">
        <f t="shared" si="33"/>
        <v>3694028</v>
      </c>
      <c r="AI40" s="78">
        <f t="shared" si="34"/>
        <v>0</v>
      </c>
      <c r="AJ40" s="83">
        <f t="shared" si="35"/>
        <v>0</v>
      </c>
      <c r="AK40" s="82">
        <f t="shared" si="36"/>
        <v>0</v>
      </c>
      <c r="AL40" s="78">
        <f t="shared" si="37"/>
        <v>2538046.309531928</v>
      </c>
      <c r="AM40" s="78">
        <f t="shared" si="38"/>
        <v>0</v>
      </c>
      <c r="AN40" s="78">
        <f t="shared" si="39"/>
        <v>9150616.81701778</v>
      </c>
      <c r="AO40" s="78">
        <f t="shared" si="40"/>
        <v>3589.88498</v>
      </c>
      <c r="AP40" s="78">
        <v>8583424</v>
      </c>
      <c r="AQ40" s="73">
        <v>2576</v>
      </c>
      <c r="AR40" s="163">
        <f t="shared" si="41"/>
        <v>3332.07</v>
      </c>
      <c r="AS40" s="82">
        <f aca="true" t="shared" si="51" ref="AS40:AS71">IF(AO40&gt;0,AR40/AO40,0)</f>
        <v>0.9281829413932923</v>
      </c>
      <c r="AT40" s="310">
        <f t="shared" si="42"/>
        <v>567192.8170177806</v>
      </c>
      <c r="AU40" s="78">
        <f aca="true" t="shared" si="52" ref="AU40:AU73">ROUND(BA40-AP40,4)</f>
        <v>567192.814</v>
      </c>
      <c r="AV40" s="78">
        <f t="shared" si="43"/>
        <v>0</v>
      </c>
      <c r="AW40" s="77">
        <f aca="true" t="shared" si="53" ref="AW40:AW71">IF(AV40&gt;0,C40,0)</f>
        <v>0</v>
      </c>
      <c r="AX40" s="78">
        <f t="shared" si="44"/>
        <v>0</v>
      </c>
      <c r="AY40" s="78">
        <f aca="true" t="shared" si="54" ref="AY40:AY73">IF((AR40*C40)&gt;AP40,AP40,AR40*C40)</f>
        <v>8493446.43</v>
      </c>
      <c r="AZ40" s="78">
        <f t="shared" si="45"/>
        <v>9150616.814</v>
      </c>
      <c r="BA40" s="78">
        <f t="shared" si="46"/>
        <v>9150616.814</v>
      </c>
      <c r="BB40" s="78">
        <f aca="true" t="shared" si="55" ref="BB40:BB71">ROUND(BA40/C40,2)</f>
        <v>3589.88</v>
      </c>
      <c r="BC40" s="82">
        <f aca="true" t="shared" si="56" ref="BC40:BC71">IF(AO40&gt;0,BB40/AO40,0)</f>
        <v>0.9999986127689251</v>
      </c>
      <c r="BD40" s="82">
        <f t="shared" si="47"/>
        <v>0.82</v>
      </c>
      <c r="BE40" s="78">
        <f aca="true" t="shared" si="57" ref="BE40:BE73">ROUND(AA40+AI40-AV40,2)</f>
        <v>2043406.18</v>
      </c>
      <c r="BF40" s="78">
        <f aca="true" t="shared" si="58" ref="BF40:BF71">ROUND(BE40/C40,2)</f>
        <v>801.65</v>
      </c>
      <c r="BG40" s="82">
        <f t="shared" si="48"/>
        <v>0.1825</v>
      </c>
      <c r="BH40" s="78">
        <f t="shared" si="49"/>
        <v>11194022.99</v>
      </c>
      <c r="BI40" s="78">
        <f aca="true" t="shared" si="59" ref="BI40:BI71">ROUND(BH40/C40,2)</f>
        <v>4391.54</v>
      </c>
      <c r="BJ40" s="77">
        <v>3208</v>
      </c>
      <c r="BK40" s="7">
        <v>33</v>
      </c>
      <c r="BL40" s="77" t="s">
        <v>39</v>
      </c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</row>
    <row r="41" spans="1:164" s="7" customFormat="1" ht="12.75">
      <c r="A41" s="76">
        <v>34</v>
      </c>
      <c r="B41" s="77" t="s">
        <v>40</v>
      </c>
      <c r="C41" s="77">
        <v>5422</v>
      </c>
      <c r="D41" s="77">
        <v>3860</v>
      </c>
      <c r="E41" s="78">
        <f t="shared" si="10"/>
        <v>1981724</v>
      </c>
      <c r="F41" s="79">
        <f t="shared" si="11"/>
        <v>656.2</v>
      </c>
      <c r="G41" s="77">
        <v>1286</v>
      </c>
      <c r="H41" s="78">
        <f t="shared" si="12"/>
        <v>193280</v>
      </c>
      <c r="I41" s="77">
        <f t="shared" si="13"/>
        <v>64</v>
      </c>
      <c r="J41" s="77">
        <v>828</v>
      </c>
      <c r="K41" s="78">
        <f t="shared" si="14"/>
        <v>3750840</v>
      </c>
      <c r="L41" s="77">
        <f t="shared" si="15"/>
        <v>1242</v>
      </c>
      <c r="M41" s="77">
        <v>68</v>
      </c>
      <c r="N41" s="78">
        <f t="shared" si="16"/>
        <v>123820</v>
      </c>
      <c r="O41" s="77">
        <f t="shared" si="17"/>
        <v>41</v>
      </c>
      <c r="P41" s="77">
        <f t="shared" si="18"/>
        <v>2078</v>
      </c>
      <c r="Q41" s="74">
        <f t="shared" si="19"/>
        <v>0.05541</v>
      </c>
      <c r="R41" s="78">
        <f t="shared" si="20"/>
        <v>906000</v>
      </c>
      <c r="S41" s="77">
        <f t="shared" si="21"/>
        <v>300</v>
      </c>
      <c r="T41" s="77">
        <f t="shared" si="22"/>
        <v>2303.2</v>
      </c>
      <c r="U41" s="77">
        <f t="shared" si="23"/>
        <v>7725.2</v>
      </c>
      <c r="V41" s="78">
        <f t="shared" si="24"/>
        <v>3020</v>
      </c>
      <c r="W41" s="78">
        <f t="shared" si="25"/>
        <v>23330104</v>
      </c>
      <c r="X41" s="81">
        <f>'Tables 6-8 Local Wealth'!M41</f>
        <v>0.75995666</v>
      </c>
      <c r="Y41" s="81">
        <f t="shared" si="26"/>
        <v>0.00777869</v>
      </c>
      <c r="Z41" s="81">
        <f t="shared" si="27"/>
        <v>0.00591147</v>
      </c>
      <c r="AA41" s="78">
        <f t="shared" si="50"/>
        <v>6205452.763029849</v>
      </c>
      <c r="AB41" s="82">
        <f t="shared" si="28"/>
        <v>0.266</v>
      </c>
      <c r="AC41" s="83">
        <f t="shared" si="29"/>
        <v>17124651.23697015</v>
      </c>
      <c r="AD41" s="82">
        <f t="shared" si="30"/>
        <v>0.734</v>
      </c>
      <c r="AE41" s="78">
        <f>'Tables 6-8 Local Wealth'!BI41</f>
        <v>7366940</v>
      </c>
      <c r="AF41" s="78">
        <f t="shared" si="31"/>
        <v>1161487.2369701508</v>
      </c>
      <c r="AG41" s="86">
        <f t="shared" si="32"/>
        <v>0</v>
      </c>
      <c r="AH41" s="78">
        <f t="shared" si="33"/>
        <v>7698934</v>
      </c>
      <c r="AI41" s="78">
        <f t="shared" si="34"/>
        <v>1161487.2369701508</v>
      </c>
      <c r="AJ41" s="83">
        <f t="shared" si="35"/>
        <v>631879.2602258723</v>
      </c>
      <c r="AK41" s="82">
        <f t="shared" si="36"/>
        <v>0.544026004</v>
      </c>
      <c r="AL41" s="78">
        <f t="shared" si="37"/>
        <v>3556541.038853864</v>
      </c>
      <c r="AM41" s="78">
        <f t="shared" si="38"/>
        <v>1793366.4971960231</v>
      </c>
      <c r="AN41" s="78">
        <f t="shared" si="39"/>
        <v>17756530.497196022</v>
      </c>
      <c r="AO41" s="78">
        <f t="shared" si="40"/>
        <v>3274.90419</v>
      </c>
      <c r="AP41" s="78">
        <v>17241696</v>
      </c>
      <c r="AQ41" s="73">
        <v>5582</v>
      </c>
      <c r="AR41" s="163">
        <f t="shared" si="41"/>
        <v>3088.8</v>
      </c>
      <c r="AS41" s="82">
        <f t="shared" si="51"/>
        <v>0.9431726306472495</v>
      </c>
      <c r="AT41" s="310">
        <f t="shared" si="42"/>
        <v>514834.4971960224</v>
      </c>
      <c r="AU41" s="78">
        <f t="shared" si="52"/>
        <v>514834.5182</v>
      </c>
      <c r="AV41" s="78">
        <f t="shared" si="43"/>
        <v>0</v>
      </c>
      <c r="AW41" s="77">
        <f t="shared" si="53"/>
        <v>0</v>
      </c>
      <c r="AX41" s="78">
        <f t="shared" si="44"/>
        <v>0</v>
      </c>
      <c r="AY41" s="78">
        <f t="shared" si="54"/>
        <v>16747473.600000001</v>
      </c>
      <c r="AZ41" s="78">
        <f t="shared" si="45"/>
        <v>17756530.5182</v>
      </c>
      <c r="BA41" s="78">
        <f t="shared" si="46"/>
        <v>17756530.5182</v>
      </c>
      <c r="BB41" s="78">
        <f t="shared" si="55"/>
        <v>3274.9</v>
      </c>
      <c r="BC41" s="82">
        <f t="shared" si="56"/>
        <v>0.9999987205732574</v>
      </c>
      <c r="BD41" s="82">
        <f t="shared" si="47"/>
        <v>0.71</v>
      </c>
      <c r="BE41" s="78">
        <f t="shared" si="57"/>
        <v>7366940</v>
      </c>
      <c r="BF41" s="78">
        <f t="shared" si="58"/>
        <v>1358.71</v>
      </c>
      <c r="BG41" s="82">
        <f t="shared" si="48"/>
        <v>0.2932</v>
      </c>
      <c r="BH41" s="78">
        <f t="shared" si="49"/>
        <v>25123470.52</v>
      </c>
      <c r="BI41" s="78">
        <f t="shared" si="59"/>
        <v>4633.62</v>
      </c>
      <c r="BJ41" s="77">
        <v>5595</v>
      </c>
      <c r="BK41" s="7">
        <v>34</v>
      </c>
      <c r="BL41" s="77" t="s">
        <v>40</v>
      </c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</row>
    <row r="42" spans="1:164" s="124" customFormat="1" ht="12.75">
      <c r="A42" s="115">
        <v>35</v>
      </c>
      <c r="B42" s="116" t="s">
        <v>41</v>
      </c>
      <c r="C42" s="116">
        <v>6825</v>
      </c>
      <c r="D42" s="116">
        <v>4483</v>
      </c>
      <c r="E42" s="117">
        <f t="shared" si="10"/>
        <v>2301572</v>
      </c>
      <c r="F42" s="118">
        <f t="shared" si="11"/>
        <v>762.11</v>
      </c>
      <c r="G42" s="116">
        <v>2061</v>
      </c>
      <c r="H42" s="117">
        <f t="shared" si="12"/>
        <v>311060</v>
      </c>
      <c r="I42" s="116">
        <f t="shared" si="13"/>
        <v>103</v>
      </c>
      <c r="J42" s="116">
        <v>810</v>
      </c>
      <c r="K42" s="117">
        <f t="shared" si="14"/>
        <v>3669300</v>
      </c>
      <c r="L42" s="116">
        <f t="shared" si="15"/>
        <v>1215</v>
      </c>
      <c r="M42" s="116">
        <v>346</v>
      </c>
      <c r="N42" s="117">
        <f t="shared" si="16"/>
        <v>628160</v>
      </c>
      <c r="O42" s="116">
        <f t="shared" si="17"/>
        <v>208</v>
      </c>
      <c r="P42" s="116">
        <f t="shared" si="18"/>
        <v>675</v>
      </c>
      <c r="Q42" s="119">
        <f t="shared" si="19"/>
        <v>0.018</v>
      </c>
      <c r="R42" s="117">
        <f t="shared" si="20"/>
        <v>371460</v>
      </c>
      <c r="S42" s="116">
        <f t="shared" si="21"/>
        <v>123</v>
      </c>
      <c r="T42" s="116">
        <f t="shared" si="22"/>
        <v>2411.11</v>
      </c>
      <c r="U42" s="116">
        <f t="shared" si="23"/>
        <v>9236.11</v>
      </c>
      <c r="V42" s="117">
        <f t="shared" si="24"/>
        <v>3020</v>
      </c>
      <c r="W42" s="117">
        <f t="shared" si="25"/>
        <v>27893052</v>
      </c>
      <c r="X42" s="121">
        <f>'Tables 6-8 Local Wealth'!M42</f>
        <v>0.77405375</v>
      </c>
      <c r="Y42" s="121">
        <f t="shared" si="26"/>
        <v>0.00930007</v>
      </c>
      <c r="Z42" s="121">
        <f t="shared" si="27"/>
        <v>0.00719875</v>
      </c>
      <c r="AA42" s="117">
        <f t="shared" si="50"/>
        <v>7556750.3646066245</v>
      </c>
      <c r="AB42" s="122">
        <f t="shared" si="28"/>
        <v>0.2709</v>
      </c>
      <c r="AC42" s="123">
        <f t="shared" si="29"/>
        <v>20336301.635393374</v>
      </c>
      <c r="AD42" s="122">
        <f t="shared" si="30"/>
        <v>0.7291</v>
      </c>
      <c r="AE42" s="117">
        <f>'Tables 6-8 Local Wealth'!BI42</f>
        <v>11404114</v>
      </c>
      <c r="AF42" s="117">
        <f t="shared" si="31"/>
        <v>3847363.6353933755</v>
      </c>
      <c r="AG42" s="179">
        <f t="shared" si="32"/>
        <v>0</v>
      </c>
      <c r="AH42" s="117">
        <f t="shared" si="33"/>
        <v>9204707</v>
      </c>
      <c r="AI42" s="117">
        <f t="shared" si="34"/>
        <v>3847363.6353933755</v>
      </c>
      <c r="AJ42" s="123">
        <f t="shared" si="35"/>
        <v>2060523.8856394505</v>
      </c>
      <c r="AK42" s="122">
        <f t="shared" si="36"/>
        <v>0.53556775</v>
      </c>
      <c r="AL42" s="117">
        <f t="shared" si="37"/>
        <v>2869220.3317597993</v>
      </c>
      <c r="AM42" s="117">
        <f t="shared" si="38"/>
        <v>5907887.521032826</v>
      </c>
      <c r="AN42" s="117">
        <f t="shared" si="39"/>
        <v>22396825.521032825</v>
      </c>
      <c r="AO42" s="117">
        <f t="shared" si="40"/>
        <v>3281.58616</v>
      </c>
      <c r="AP42" s="117">
        <v>22223969</v>
      </c>
      <c r="AQ42" s="162">
        <v>6954</v>
      </c>
      <c r="AR42" s="164">
        <f t="shared" si="41"/>
        <v>3195.85</v>
      </c>
      <c r="AS42" s="122">
        <f t="shared" si="51"/>
        <v>0.9738735611927374</v>
      </c>
      <c r="AT42" s="311">
        <f t="shared" si="42"/>
        <v>172856.5210328251</v>
      </c>
      <c r="AU42" s="117">
        <f t="shared" si="52"/>
        <v>172856.542</v>
      </c>
      <c r="AV42" s="117">
        <f t="shared" si="43"/>
        <v>0</v>
      </c>
      <c r="AW42" s="116">
        <f t="shared" si="53"/>
        <v>0</v>
      </c>
      <c r="AX42" s="117">
        <f t="shared" si="44"/>
        <v>0</v>
      </c>
      <c r="AY42" s="117">
        <f t="shared" si="54"/>
        <v>21811676.25</v>
      </c>
      <c r="AZ42" s="117">
        <f t="shared" si="45"/>
        <v>22396825.542</v>
      </c>
      <c r="BA42" s="117">
        <f t="shared" si="46"/>
        <v>22396825.542</v>
      </c>
      <c r="BB42" s="117">
        <f t="shared" si="55"/>
        <v>3281.59</v>
      </c>
      <c r="BC42" s="122">
        <f t="shared" si="56"/>
        <v>1.0000011701658322</v>
      </c>
      <c r="BD42" s="122">
        <f t="shared" si="47"/>
        <v>0.66</v>
      </c>
      <c r="BE42" s="117">
        <f t="shared" si="57"/>
        <v>11404114</v>
      </c>
      <c r="BF42" s="117">
        <f t="shared" si="58"/>
        <v>1670.93</v>
      </c>
      <c r="BG42" s="122">
        <f t="shared" si="48"/>
        <v>0.3374</v>
      </c>
      <c r="BH42" s="117">
        <f t="shared" si="49"/>
        <v>33800939.54</v>
      </c>
      <c r="BI42" s="117">
        <f t="shared" si="59"/>
        <v>4952.52</v>
      </c>
      <c r="BJ42" s="116">
        <v>7062</v>
      </c>
      <c r="BK42" s="124">
        <v>35</v>
      </c>
      <c r="BL42" s="116" t="s">
        <v>41</v>
      </c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</row>
    <row r="43" spans="1:164" s="7" customFormat="1" ht="12.75">
      <c r="A43" s="76">
        <v>36</v>
      </c>
      <c r="B43" s="77" t="s">
        <v>42</v>
      </c>
      <c r="C43" s="77">
        <v>78316</v>
      </c>
      <c r="D43" s="77">
        <v>59273</v>
      </c>
      <c r="E43" s="78">
        <f t="shared" si="10"/>
        <v>30430758</v>
      </c>
      <c r="F43" s="79">
        <f t="shared" si="11"/>
        <v>10076.41</v>
      </c>
      <c r="G43" s="77">
        <v>13094</v>
      </c>
      <c r="H43" s="78">
        <f t="shared" si="12"/>
        <v>1978100</v>
      </c>
      <c r="I43" s="77">
        <f t="shared" si="13"/>
        <v>655</v>
      </c>
      <c r="J43" s="77">
        <v>7209</v>
      </c>
      <c r="K43" s="78">
        <f t="shared" si="14"/>
        <v>32658280</v>
      </c>
      <c r="L43" s="77">
        <f t="shared" si="15"/>
        <v>10814</v>
      </c>
      <c r="M43" s="77">
        <v>4431</v>
      </c>
      <c r="N43" s="78">
        <f t="shared" si="16"/>
        <v>8030180</v>
      </c>
      <c r="O43" s="77">
        <f t="shared" si="17"/>
        <v>2659</v>
      </c>
      <c r="P43" s="77">
        <f t="shared" si="18"/>
        <v>0</v>
      </c>
      <c r="Q43" s="74">
        <f t="shared" si="19"/>
        <v>0</v>
      </c>
      <c r="R43" s="78">
        <f t="shared" si="20"/>
        <v>0</v>
      </c>
      <c r="S43" s="77">
        <f t="shared" si="21"/>
        <v>0</v>
      </c>
      <c r="T43" s="77">
        <f t="shared" si="22"/>
        <v>24204.41</v>
      </c>
      <c r="U43" s="77">
        <f t="shared" si="23"/>
        <v>102520.41</v>
      </c>
      <c r="V43" s="78">
        <f t="shared" si="24"/>
        <v>3020</v>
      </c>
      <c r="W43" s="78">
        <f t="shared" si="25"/>
        <v>309611638</v>
      </c>
      <c r="X43" s="81">
        <f>'Tables 6-8 Local Wealth'!M43</f>
        <v>0.98073926</v>
      </c>
      <c r="Y43" s="81">
        <f t="shared" si="26"/>
        <v>0.10323034</v>
      </c>
      <c r="Z43" s="81">
        <f t="shared" si="27"/>
        <v>0.10124205</v>
      </c>
      <c r="AA43" s="78">
        <f t="shared" si="50"/>
        <v>106276908.94266672</v>
      </c>
      <c r="AB43" s="82">
        <f t="shared" si="28"/>
        <v>0.3433</v>
      </c>
      <c r="AC43" s="83">
        <f t="shared" si="29"/>
        <v>203334729.0573333</v>
      </c>
      <c r="AD43" s="82">
        <f t="shared" si="30"/>
        <v>0.6567</v>
      </c>
      <c r="AE43" s="78">
        <f>'Tables 6-8 Local Wealth'!BI43</f>
        <v>160181084</v>
      </c>
      <c r="AF43" s="78">
        <f t="shared" si="31"/>
        <v>53904175.057333276</v>
      </c>
      <c r="AG43" s="86">
        <f t="shared" si="32"/>
        <v>0</v>
      </c>
      <c r="AH43" s="78">
        <f t="shared" si="33"/>
        <v>102171841</v>
      </c>
      <c r="AI43" s="78">
        <f t="shared" si="34"/>
        <v>53904175.057333276</v>
      </c>
      <c r="AJ43" s="83">
        <f t="shared" si="35"/>
        <v>22184610.60334958</v>
      </c>
      <c r="AK43" s="82">
        <f t="shared" si="36"/>
        <v>0.411556444</v>
      </c>
      <c r="AL43" s="78">
        <f t="shared" si="37"/>
        <v>19864868.955543824</v>
      </c>
      <c r="AM43" s="78">
        <f t="shared" si="38"/>
        <v>76088785.66068286</v>
      </c>
      <c r="AN43" s="78">
        <f t="shared" si="39"/>
        <v>225519339.66068286</v>
      </c>
      <c r="AO43" s="78">
        <f t="shared" si="40"/>
        <v>2879.60748</v>
      </c>
      <c r="AP43" s="78">
        <v>218486534</v>
      </c>
      <c r="AQ43" s="73">
        <v>79704</v>
      </c>
      <c r="AR43" s="163">
        <f t="shared" si="41"/>
        <v>2741.22</v>
      </c>
      <c r="AS43" s="82">
        <f t="shared" si="51"/>
        <v>0.9519422417947045</v>
      </c>
      <c r="AT43" s="310">
        <f t="shared" si="42"/>
        <v>7032805.660682857</v>
      </c>
      <c r="AU43" s="78">
        <f t="shared" si="52"/>
        <v>7032805.4037</v>
      </c>
      <c r="AV43" s="78">
        <f t="shared" si="43"/>
        <v>0</v>
      </c>
      <c r="AW43" s="77">
        <f t="shared" si="53"/>
        <v>0</v>
      </c>
      <c r="AX43" s="78">
        <f t="shared" si="44"/>
        <v>0</v>
      </c>
      <c r="AY43" s="78">
        <f t="shared" si="54"/>
        <v>214681385.51999998</v>
      </c>
      <c r="AZ43" s="78">
        <f t="shared" si="45"/>
        <v>225519339.4037</v>
      </c>
      <c r="BA43" s="78">
        <f t="shared" si="46"/>
        <v>225519339.4037</v>
      </c>
      <c r="BB43" s="78">
        <f t="shared" si="55"/>
        <v>2879.61</v>
      </c>
      <c r="BC43" s="82">
        <f t="shared" si="56"/>
        <v>1.0000008751192715</v>
      </c>
      <c r="BD43" s="82">
        <f t="shared" si="47"/>
        <v>0.58</v>
      </c>
      <c r="BE43" s="78">
        <f t="shared" si="57"/>
        <v>160181084</v>
      </c>
      <c r="BF43" s="78">
        <f t="shared" si="58"/>
        <v>2045.32</v>
      </c>
      <c r="BG43" s="82">
        <f t="shared" si="48"/>
        <v>0.4153</v>
      </c>
      <c r="BH43" s="78">
        <f t="shared" si="49"/>
        <v>385700423.4</v>
      </c>
      <c r="BI43" s="78">
        <f t="shared" si="59"/>
        <v>4924.92</v>
      </c>
      <c r="BJ43" s="77">
        <v>81030</v>
      </c>
      <c r="BK43" s="7">
        <v>36</v>
      </c>
      <c r="BL43" s="77" t="s">
        <v>42</v>
      </c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</row>
    <row r="44" spans="1:164" s="7" customFormat="1" ht="12.75">
      <c r="A44" s="76">
        <v>37</v>
      </c>
      <c r="B44" s="77" t="s">
        <v>43</v>
      </c>
      <c r="C44" s="77">
        <v>17146</v>
      </c>
      <c r="D44" s="77">
        <v>6948</v>
      </c>
      <c r="E44" s="78">
        <f t="shared" si="10"/>
        <v>3567103</v>
      </c>
      <c r="F44" s="79">
        <f t="shared" si="11"/>
        <v>1181.16</v>
      </c>
      <c r="G44" s="77">
        <v>3100</v>
      </c>
      <c r="H44" s="78">
        <f t="shared" si="12"/>
        <v>468100</v>
      </c>
      <c r="I44" s="77">
        <f t="shared" si="13"/>
        <v>155</v>
      </c>
      <c r="J44" s="77">
        <v>1838</v>
      </c>
      <c r="K44" s="78">
        <f t="shared" si="14"/>
        <v>8326140</v>
      </c>
      <c r="L44" s="77">
        <f t="shared" si="15"/>
        <v>2757</v>
      </c>
      <c r="M44" s="77">
        <v>1099</v>
      </c>
      <c r="N44" s="78">
        <f t="shared" si="16"/>
        <v>1990180</v>
      </c>
      <c r="O44" s="77">
        <f t="shared" si="17"/>
        <v>659</v>
      </c>
      <c r="P44" s="77">
        <f t="shared" si="18"/>
        <v>0</v>
      </c>
      <c r="Q44" s="74">
        <f t="shared" si="19"/>
        <v>0</v>
      </c>
      <c r="R44" s="78">
        <f t="shared" si="20"/>
        <v>0</v>
      </c>
      <c r="S44" s="77">
        <f t="shared" si="21"/>
        <v>0</v>
      </c>
      <c r="T44" s="77">
        <f t="shared" si="22"/>
        <v>4752.16</v>
      </c>
      <c r="U44" s="77">
        <f t="shared" si="23"/>
        <v>21898.16</v>
      </c>
      <c r="V44" s="78">
        <f t="shared" si="24"/>
        <v>3020</v>
      </c>
      <c r="W44" s="78">
        <f t="shared" si="25"/>
        <v>66132443</v>
      </c>
      <c r="X44" s="81">
        <f>'Tables 6-8 Local Wealth'!M44</f>
        <v>0.74924921</v>
      </c>
      <c r="Y44" s="81">
        <f t="shared" si="26"/>
        <v>0.0220498</v>
      </c>
      <c r="Z44" s="81">
        <f t="shared" si="27"/>
        <v>0.0165208</v>
      </c>
      <c r="AA44" s="78">
        <f t="shared" si="50"/>
        <v>17342394.36340936</v>
      </c>
      <c r="AB44" s="82">
        <f t="shared" si="28"/>
        <v>0.2622</v>
      </c>
      <c r="AC44" s="83">
        <f t="shared" si="29"/>
        <v>48790048.636590645</v>
      </c>
      <c r="AD44" s="82">
        <f t="shared" si="30"/>
        <v>0.7378</v>
      </c>
      <c r="AE44" s="78">
        <f>'Tables 6-8 Local Wealth'!BI44</f>
        <v>36725319</v>
      </c>
      <c r="AF44" s="78">
        <f t="shared" si="31"/>
        <v>19382924.63659064</v>
      </c>
      <c r="AG44" s="86">
        <f t="shared" si="32"/>
        <v>0</v>
      </c>
      <c r="AH44" s="78">
        <f t="shared" si="33"/>
        <v>21823706</v>
      </c>
      <c r="AI44" s="78">
        <f t="shared" si="34"/>
        <v>19382924.63659064</v>
      </c>
      <c r="AJ44" s="83">
        <f t="shared" si="35"/>
        <v>10669340.053717596</v>
      </c>
      <c r="AK44" s="82">
        <f t="shared" si="36"/>
        <v>0.550450474</v>
      </c>
      <c r="AL44" s="78">
        <f t="shared" si="37"/>
        <v>1343529.258419048</v>
      </c>
      <c r="AM44" s="78">
        <f t="shared" si="38"/>
        <v>30052264.690308236</v>
      </c>
      <c r="AN44" s="78">
        <f t="shared" si="39"/>
        <v>59459388.69030824</v>
      </c>
      <c r="AO44" s="78">
        <f t="shared" si="40"/>
        <v>3467.82857</v>
      </c>
      <c r="AP44" s="78">
        <v>53994056</v>
      </c>
      <c r="AQ44" s="73">
        <v>17361</v>
      </c>
      <c r="AR44" s="163">
        <f t="shared" si="41"/>
        <v>3110.08</v>
      </c>
      <c r="AS44" s="82">
        <f t="shared" si="51"/>
        <v>0.8968378733900332</v>
      </c>
      <c r="AT44" s="310">
        <f t="shared" si="42"/>
        <v>5465332.690308243</v>
      </c>
      <c r="AU44" s="78">
        <f t="shared" si="52"/>
        <v>5465332.6612</v>
      </c>
      <c r="AV44" s="78">
        <f t="shared" si="43"/>
        <v>0</v>
      </c>
      <c r="AW44" s="77">
        <f t="shared" si="53"/>
        <v>0</v>
      </c>
      <c r="AX44" s="78">
        <f t="shared" si="44"/>
        <v>0</v>
      </c>
      <c r="AY44" s="78">
        <f t="shared" si="54"/>
        <v>53325431.68</v>
      </c>
      <c r="AZ44" s="78">
        <f t="shared" si="45"/>
        <v>59459388.6612</v>
      </c>
      <c r="BA44" s="78">
        <f t="shared" si="46"/>
        <v>59459388.6612</v>
      </c>
      <c r="BB44" s="78">
        <f t="shared" si="55"/>
        <v>3467.83</v>
      </c>
      <c r="BC44" s="82">
        <f t="shared" si="56"/>
        <v>1.000000412361791</v>
      </c>
      <c r="BD44" s="82">
        <f t="shared" si="47"/>
        <v>0.62</v>
      </c>
      <c r="BE44" s="78">
        <f t="shared" si="57"/>
        <v>36725319</v>
      </c>
      <c r="BF44" s="78">
        <f t="shared" si="58"/>
        <v>2141.92</v>
      </c>
      <c r="BG44" s="82">
        <f t="shared" si="48"/>
        <v>0.3818</v>
      </c>
      <c r="BH44" s="78">
        <f t="shared" si="49"/>
        <v>96184707.66</v>
      </c>
      <c r="BI44" s="78">
        <f t="shared" si="59"/>
        <v>5609.75</v>
      </c>
      <c r="BJ44" s="77">
        <v>17571</v>
      </c>
      <c r="BK44" s="7">
        <v>37</v>
      </c>
      <c r="BL44" s="77" t="s">
        <v>43</v>
      </c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</row>
    <row r="45" spans="1:164" s="7" customFormat="1" ht="12.75">
      <c r="A45" s="76">
        <v>38</v>
      </c>
      <c r="B45" s="77" t="s">
        <v>44</v>
      </c>
      <c r="C45" s="77">
        <v>4777</v>
      </c>
      <c r="D45" s="77">
        <v>2847</v>
      </c>
      <c r="E45" s="78">
        <f t="shared" si="10"/>
        <v>1461650</v>
      </c>
      <c r="F45" s="79">
        <f t="shared" si="11"/>
        <v>483.99</v>
      </c>
      <c r="G45" s="77">
        <v>1292</v>
      </c>
      <c r="H45" s="78">
        <f t="shared" si="12"/>
        <v>196300</v>
      </c>
      <c r="I45" s="77">
        <f t="shared" si="13"/>
        <v>65</v>
      </c>
      <c r="J45" s="77">
        <v>489</v>
      </c>
      <c r="K45" s="78">
        <f t="shared" si="14"/>
        <v>2216680</v>
      </c>
      <c r="L45" s="77">
        <f t="shared" si="15"/>
        <v>734</v>
      </c>
      <c r="M45" s="77">
        <v>150</v>
      </c>
      <c r="N45" s="78">
        <f t="shared" si="16"/>
        <v>271800</v>
      </c>
      <c r="O45" s="77">
        <f t="shared" si="17"/>
        <v>90</v>
      </c>
      <c r="P45" s="77">
        <f t="shared" si="18"/>
        <v>2723</v>
      </c>
      <c r="Q45" s="74">
        <f t="shared" si="19"/>
        <v>0.07261</v>
      </c>
      <c r="R45" s="78">
        <f t="shared" si="20"/>
        <v>1047940</v>
      </c>
      <c r="S45" s="77">
        <f t="shared" si="21"/>
        <v>347</v>
      </c>
      <c r="T45" s="77">
        <f t="shared" si="22"/>
        <v>1719.99</v>
      </c>
      <c r="U45" s="77">
        <f t="shared" si="23"/>
        <v>6496.99</v>
      </c>
      <c r="V45" s="78">
        <f t="shared" si="24"/>
        <v>3020</v>
      </c>
      <c r="W45" s="78">
        <f t="shared" si="25"/>
        <v>19620910</v>
      </c>
      <c r="X45" s="81">
        <f>'Tables 6-8 Local Wealth'!M45</f>
        <v>2.66295602</v>
      </c>
      <c r="Y45" s="81">
        <f t="shared" si="26"/>
        <v>0.00654198</v>
      </c>
      <c r="Z45" s="81">
        <f t="shared" si="27"/>
        <v>0.01742101</v>
      </c>
      <c r="AA45" s="78">
        <f t="shared" si="50"/>
        <v>18287372.622929767</v>
      </c>
      <c r="AB45" s="82">
        <f t="shared" si="28"/>
        <v>0.932</v>
      </c>
      <c r="AC45" s="83">
        <f t="shared" si="29"/>
        <v>1333537.3770702332</v>
      </c>
      <c r="AD45" s="82">
        <f t="shared" si="30"/>
        <v>0.068</v>
      </c>
      <c r="AE45" s="78">
        <f>'Tables 6-8 Local Wealth'!BI45</f>
        <v>17728251</v>
      </c>
      <c r="AF45" s="78">
        <f t="shared" si="31"/>
        <v>0</v>
      </c>
      <c r="AG45" s="86">
        <f t="shared" si="32"/>
        <v>-559121.6229297668</v>
      </c>
      <c r="AH45" s="78">
        <f t="shared" si="33"/>
        <v>6474900</v>
      </c>
      <c r="AI45" s="78">
        <f t="shared" si="34"/>
        <v>0</v>
      </c>
      <c r="AJ45" s="83">
        <f t="shared" si="35"/>
        <v>0</v>
      </c>
      <c r="AK45" s="82">
        <f t="shared" si="36"/>
        <v>0</v>
      </c>
      <c r="AL45" s="78">
        <f t="shared" si="37"/>
        <v>0</v>
      </c>
      <c r="AM45" s="78">
        <f t="shared" si="38"/>
        <v>0</v>
      </c>
      <c r="AN45" s="78">
        <f t="shared" si="39"/>
        <v>1333537.3770702332</v>
      </c>
      <c r="AO45" s="78">
        <f t="shared" si="40"/>
        <v>279.15792</v>
      </c>
      <c r="AP45" s="78">
        <v>10399948</v>
      </c>
      <c r="AQ45" s="73">
        <v>4957</v>
      </c>
      <c r="AR45" s="163">
        <f t="shared" si="41"/>
        <v>2098.03</v>
      </c>
      <c r="AS45" s="82">
        <f t="shared" si="51"/>
        <v>7.5155668160874685</v>
      </c>
      <c r="AT45" s="310">
        <f t="shared" si="42"/>
        <v>0</v>
      </c>
      <c r="AU45" s="78">
        <f t="shared" si="52"/>
        <v>-377658.69</v>
      </c>
      <c r="AV45" s="78">
        <f t="shared" si="43"/>
        <v>8688751.9262</v>
      </c>
      <c r="AW45" s="77">
        <f t="shared" si="53"/>
        <v>4777</v>
      </c>
      <c r="AX45" s="78">
        <f t="shared" si="44"/>
        <v>1818.8720800083736</v>
      </c>
      <c r="AY45" s="78">
        <f t="shared" si="54"/>
        <v>10022289.31</v>
      </c>
      <c r="AZ45" s="78">
        <f t="shared" si="45"/>
        <v>1333537.3838</v>
      </c>
      <c r="BA45" s="78">
        <f t="shared" si="46"/>
        <v>10022289.31</v>
      </c>
      <c r="BB45" s="78">
        <f t="shared" si="55"/>
        <v>2098.03</v>
      </c>
      <c r="BC45" s="82">
        <f t="shared" si="56"/>
        <v>7.5155668160874685</v>
      </c>
      <c r="BD45" s="82">
        <f t="shared" si="47"/>
        <v>0.51</v>
      </c>
      <c r="BE45" s="78">
        <f t="shared" si="57"/>
        <v>9598620.7</v>
      </c>
      <c r="BF45" s="78">
        <f t="shared" si="58"/>
        <v>2009.34</v>
      </c>
      <c r="BG45" s="82">
        <f t="shared" si="48"/>
        <v>0.4892</v>
      </c>
      <c r="BH45" s="78">
        <f t="shared" si="49"/>
        <v>19620910.01</v>
      </c>
      <c r="BI45" s="78">
        <f t="shared" si="59"/>
        <v>4107.37</v>
      </c>
      <c r="BJ45" s="77">
        <v>5027</v>
      </c>
      <c r="BK45" s="7">
        <v>38</v>
      </c>
      <c r="BL45" s="77" t="s">
        <v>44</v>
      </c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</row>
    <row r="46" spans="1:164" s="7" customFormat="1" ht="12.75">
      <c r="A46" s="76">
        <v>39</v>
      </c>
      <c r="B46" s="77" t="s">
        <v>45</v>
      </c>
      <c r="C46" s="77">
        <v>3319</v>
      </c>
      <c r="D46" s="77">
        <v>2566</v>
      </c>
      <c r="E46" s="78">
        <f t="shared" si="10"/>
        <v>1317384</v>
      </c>
      <c r="F46" s="79">
        <f t="shared" si="11"/>
        <v>436.22</v>
      </c>
      <c r="G46" s="77">
        <v>1176</v>
      </c>
      <c r="H46" s="78">
        <f t="shared" si="12"/>
        <v>178180</v>
      </c>
      <c r="I46" s="77">
        <f t="shared" si="13"/>
        <v>59</v>
      </c>
      <c r="J46" s="77">
        <v>570</v>
      </c>
      <c r="K46" s="78">
        <f t="shared" si="14"/>
        <v>2582100</v>
      </c>
      <c r="L46" s="77">
        <f t="shared" si="15"/>
        <v>855</v>
      </c>
      <c r="M46" s="77">
        <v>12</v>
      </c>
      <c r="N46" s="78">
        <f t="shared" si="16"/>
        <v>21140</v>
      </c>
      <c r="O46" s="77">
        <f t="shared" si="17"/>
        <v>7</v>
      </c>
      <c r="P46" s="77">
        <f t="shared" si="18"/>
        <v>4181</v>
      </c>
      <c r="Q46" s="74">
        <f t="shared" si="19"/>
        <v>0.11149</v>
      </c>
      <c r="R46" s="78">
        <f t="shared" si="20"/>
        <v>1117400</v>
      </c>
      <c r="S46" s="77">
        <f t="shared" si="21"/>
        <v>370</v>
      </c>
      <c r="T46" s="77">
        <f t="shared" si="22"/>
        <v>1727.22</v>
      </c>
      <c r="U46" s="77">
        <f t="shared" si="23"/>
        <v>5046.22</v>
      </c>
      <c r="V46" s="78">
        <f t="shared" si="24"/>
        <v>3020</v>
      </c>
      <c r="W46" s="78">
        <f t="shared" si="25"/>
        <v>15239584</v>
      </c>
      <c r="X46" s="81">
        <f>'Tables 6-8 Local Wealth'!M46</f>
        <v>1.38490439</v>
      </c>
      <c r="Y46" s="81">
        <f t="shared" si="26"/>
        <v>0.00508116</v>
      </c>
      <c r="Z46" s="81">
        <f t="shared" si="27"/>
        <v>0.00703692</v>
      </c>
      <c r="AA46" s="78">
        <f t="shared" si="50"/>
        <v>7386872.411975363</v>
      </c>
      <c r="AB46" s="82">
        <f t="shared" si="28"/>
        <v>0.4847</v>
      </c>
      <c r="AC46" s="83">
        <f t="shared" si="29"/>
        <v>7852711.588024637</v>
      </c>
      <c r="AD46" s="82">
        <f t="shared" si="30"/>
        <v>0.5153</v>
      </c>
      <c r="AE46" s="78">
        <f>'Tables 6-8 Local Wealth'!BI46</f>
        <v>6425175</v>
      </c>
      <c r="AF46" s="78">
        <f t="shared" si="31"/>
        <v>0</v>
      </c>
      <c r="AG46" s="86">
        <f t="shared" si="32"/>
        <v>-961697.4119753633</v>
      </c>
      <c r="AH46" s="78">
        <f t="shared" si="33"/>
        <v>5029063</v>
      </c>
      <c r="AI46" s="78">
        <f t="shared" si="34"/>
        <v>0</v>
      </c>
      <c r="AJ46" s="83">
        <f t="shared" si="35"/>
        <v>0</v>
      </c>
      <c r="AK46" s="82">
        <f t="shared" si="36"/>
        <v>0</v>
      </c>
      <c r="AL46" s="78">
        <f t="shared" si="37"/>
        <v>850200.1442280579</v>
      </c>
      <c r="AM46" s="78">
        <f t="shared" si="38"/>
        <v>0</v>
      </c>
      <c r="AN46" s="78">
        <f t="shared" si="39"/>
        <v>7852711.588024637</v>
      </c>
      <c r="AO46" s="78">
        <f t="shared" si="40"/>
        <v>2365.98722</v>
      </c>
      <c r="AP46" s="78">
        <v>8899191</v>
      </c>
      <c r="AQ46" s="73">
        <v>3414</v>
      </c>
      <c r="AR46" s="163">
        <f t="shared" si="41"/>
        <v>2606.68</v>
      </c>
      <c r="AS46" s="82">
        <f t="shared" si="51"/>
        <v>1.1017303804371352</v>
      </c>
      <c r="AT46" s="310">
        <f t="shared" si="42"/>
        <v>0</v>
      </c>
      <c r="AU46" s="78">
        <f t="shared" si="52"/>
        <v>-247620.08</v>
      </c>
      <c r="AV46" s="78">
        <f t="shared" si="43"/>
        <v>798859.3367999997</v>
      </c>
      <c r="AW46" s="77">
        <f t="shared" si="53"/>
        <v>3319</v>
      </c>
      <c r="AX46" s="78">
        <f t="shared" si="44"/>
        <v>240.692779993974</v>
      </c>
      <c r="AY46" s="78">
        <f t="shared" si="54"/>
        <v>8651570.92</v>
      </c>
      <c r="AZ46" s="78">
        <f t="shared" si="45"/>
        <v>7852711.5832</v>
      </c>
      <c r="BA46" s="78">
        <f t="shared" si="46"/>
        <v>8651570.92</v>
      </c>
      <c r="BB46" s="78">
        <f t="shared" si="55"/>
        <v>2606.68</v>
      </c>
      <c r="BC46" s="82">
        <f t="shared" si="56"/>
        <v>1.1017303804371352</v>
      </c>
      <c r="BD46" s="82">
        <f t="shared" si="47"/>
        <v>0.57</v>
      </c>
      <c r="BE46" s="78">
        <f t="shared" si="57"/>
        <v>6588013.08</v>
      </c>
      <c r="BF46" s="78">
        <f t="shared" si="58"/>
        <v>1984.94</v>
      </c>
      <c r="BG46" s="82">
        <f t="shared" si="48"/>
        <v>0.4323</v>
      </c>
      <c r="BH46" s="78">
        <f t="shared" si="49"/>
        <v>15239584</v>
      </c>
      <c r="BI46" s="78">
        <f t="shared" si="59"/>
        <v>4591.62</v>
      </c>
      <c r="BJ46" s="77">
        <v>3442</v>
      </c>
      <c r="BK46" s="7">
        <v>39</v>
      </c>
      <c r="BL46" s="77" t="s">
        <v>45</v>
      </c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</row>
    <row r="47" spans="1:164" s="124" customFormat="1" ht="12.75">
      <c r="A47" s="115">
        <v>40</v>
      </c>
      <c r="B47" s="116" t="s">
        <v>46</v>
      </c>
      <c r="C47" s="116">
        <v>23537</v>
      </c>
      <c r="D47" s="116">
        <v>13968</v>
      </c>
      <c r="E47" s="117">
        <f t="shared" si="10"/>
        <v>7171171</v>
      </c>
      <c r="F47" s="118">
        <f t="shared" si="11"/>
        <v>2374.56</v>
      </c>
      <c r="G47" s="116">
        <v>7021</v>
      </c>
      <c r="H47" s="117">
        <f t="shared" si="12"/>
        <v>1060020</v>
      </c>
      <c r="I47" s="116">
        <f t="shared" si="13"/>
        <v>351</v>
      </c>
      <c r="J47" s="116">
        <v>3088</v>
      </c>
      <c r="K47" s="117">
        <f t="shared" si="14"/>
        <v>13988640</v>
      </c>
      <c r="L47" s="116">
        <f t="shared" si="15"/>
        <v>4632</v>
      </c>
      <c r="M47" s="116">
        <v>433</v>
      </c>
      <c r="N47" s="117">
        <f t="shared" si="16"/>
        <v>785200</v>
      </c>
      <c r="O47" s="116">
        <f t="shared" si="17"/>
        <v>260</v>
      </c>
      <c r="P47" s="116">
        <f t="shared" si="18"/>
        <v>0</v>
      </c>
      <c r="Q47" s="119">
        <f t="shared" si="19"/>
        <v>0</v>
      </c>
      <c r="R47" s="117">
        <f t="shared" si="20"/>
        <v>0</v>
      </c>
      <c r="S47" s="116">
        <f t="shared" si="21"/>
        <v>0</v>
      </c>
      <c r="T47" s="116">
        <f t="shared" si="22"/>
        <v>7617.5599999999995</v>
      </c>
      <c r="U47" s="116">
        <f t="shared" si="23"/>
        <v>31154.559999999998</v>
      </c>
      <c r="V47" s="117">
        <f t="shared" si="24"/>
        <v>3020</v>
      </c>
      <c r="W47" s="117">
        <f t="shared" si="25"/>
        <v>94086771</v>
      </c>
      <c r="X47" s="121">
        <f>'Tables 6-8 Local Wealth'!M47</f>
        <v>0.8765095</v>
      </c>
      <c r="Y47" s="121">
        <f t="shared" si="26"/>
        <v>0.0313703</v>
      </c>
      <c r="Z47" s="121">
        <f t="shared" si="27"/>
        <v>0.02749637</v>
      </c>
      <c r="AA47" s="117">
        <f t="shared" si="50"/>
        <v>28863789.411058675</v>
      </c>
      <c r="AB47" s="122">
        <f t="shared" si="28"/>
        <v>0.3068</v>
      </c>
      <c r="AC47" s="123">
        <f t="shared" si="29"/>
        <v>65222981.58894132</v>
      </c>
      <c r="AD47" s="122">
        <f t="shared" si="30"/>
        <v>0.6932</v>
      </c>
      <c r="AE47" s="117">
        <f>'Tables 6-8 Local Wealth'!BI47</f>
        <v>47456574</v>
      </c>
      <c r="AF47" s="117">
        <f t="shared" si="31"/>
        <v>18592784.588941325</v>
      </c>
      <c r="AG47" s="179">
        <f t="shared" si="32"/>
        <v>0</v>
      </c>
      <c r="AH47" s="117">
        <f t="shared" si="33"/>
        <v>31048634</v>
      </c>
      <c r="AI47" s="117">
        <f t="shared" si="34"/>
        <v>18592784.588941325</v>
      </c>
      <c r="AJ47" s="123">
        <f t="shared" si="35"/>
        <v>8814733.194744924</v>
      </c>
      <c r="AK47" s="122">
        <f t="shared" si="36"/>
        <v>0.47409429999999997</v>
      </c>
      <c r="AL47" s="117">
        <f t="shared" si="37"/>
        <v>5905247.207441274</v>
      </c>
      <c r="AM47" s="117">
        <f t="shared" si="38"/>
        <v>27407517.78368625</v>
      </c>
      <c r="AN47" s="117">
        <f t="shared" si="39"/>
        <v>74037714.78368625</v>
      </c>
      <c r="AO47" s="117">
        <f t="shared" si="40"/>
        <v>3145.58843</v>
      </c>
      <c r="AP47" s="117">
        <v>72619098</v>
      </c>
      <c r="AQ47" s="162">
        <v>23561</v>
      </c>
      <c r="AR47" s="164">
        <f t="shared" si="41"/>
        <v>3082.17</v>
      </c>
      <c r="AS47" s="122">
        <f t="shared" si="51"/>
        <v>0.9798389295321767</v>
      </c>
      <c r="AT47" s="311">
        <f t="shared" si="42"/>
        <v>1418616.7836862504</v>
      </c>
      <c r="AU47" s="117">
        <f t="shared" si="52"/>
        <v>1418616.8769</v>
      </c>
      <c r="AV47" s="117">
        <f t="shared" si="43"/>
        <v>0</v>
      </c>
      <c r="AW47" s="116">
        <f t="shared" si="53"/>
        <v>0</v>
      </c>
      <c r="AX47" s="117">
        <f t="shared" si="44"/>
        <v>0</v>
      </c>
      <c r="AY47" s="117">
        <f t="shared" si="54"/>
        <v>72545035.29</v>
      </c>
      <c r="AZ47" s="117">
        <f t="shared" si="45"/>
        <v>74037714.8769</v>
      </c>
      <c r="BA47" s="117">
        <f t="shared" si="46"/>
        <v>74037714.8769</v>
      </c>
      <c r="BB47" s="117">
        <f t="shared" si="55"/>
        <v>3145.59</v>
      </c>
      <c r="BC47" s="122">
        <f t="shared" si="56"/>
        <v>1.0000004991117037</v>
      </c>
      <c r="BD47" s="122">
        <f t="shared" si="47"/>
        <v>0.61</v>
      </c>
      <c r="BE47" s="117">
        <f t="shared" si="57"/>
        <v>47456574</v>
      </c>
      <c r="BF47" s="117">
        <f t="shared" si="58"/>
        <v>2016.25</v>
      </c>
      <c r="BG47" s="122">
        <f t="shared" si="48"/>
        <v>0.3906</v>
      </c>
      <c r="BH47" s="117">
        <f t="shared" si="49"/>
        <v>121494288.88</v>
      </c>
      <c r="BI47" s="117">
        <f t="shared" si="59"/>
        <v>5161.84</v>
      </c>
      <c r="BJ47" s="116">
        <v>23590</v>
      </c>
      <c r="BK47" s="124">
        <v>40</v>
      </c>
      <c r="BL47" s="116" t="s">
        <v>46</v>
      </c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</row>
    <row r="48" spans="1:164" s="7" customFormat="1" ht="12.75">
      <c r="A48" s="76">
        <v>41</v>
      </c>
      <c r="B48" s="77" t="s">
        <v>47</v>
      </c>
      <c r="C48" s="77">
        <v>1872</v>
      </c>
      <c r="D48" s="77">
        <v>1498</v>
      </c>
      <c r="E48" s="78">
        <f t="shared" si="10"/>
        <v>769073</v>
      </c>
      <c r="F48" s="79">
        <f t="shared" si="11"/>
        <v>254.66</v>
      </c>
      <c r="G48" s="77">
        <v>475</v>
      </c>
      <c r="H48" s="78">
        <f t="shared" si="12"/>
        <v>72480</v>
      </c>
      <c r="I48" s="77">
        <f t="shared" si="13"/>
        <v>24</v>
      </c>
      <c r="J48" s="77">
        <v>260</v>
      </c>
      <c r="K48" s="78">
        <f t="shared" si="14"/>
        <v>1177800</v>
      </c>
      <c r="L48" s="77">
        <f t="shared" si="15"/>
        <v>390</v>
      </c>
      <c r="M48" s="77">
        <v>6</v>
      </c>
      <c r="N48" s="78">
        <f t="shared" si="16"/>
        <v>12080</v>
      </c>
      <c r="O48" s="77">
        <f t="shared" si="17"/>
        <v>4</v>
      </c>
      <c r="P48" s="77">
        <f t="shared" si="18"/>
        <v>5628</v>
      </c>
      <c r="Q48" s="74">
        <f t="shared" si="19"/>
        <v>0.15008</v>
      </c>
      <c r="R48" s="78">
        <f t="shared" si="20"/>
        <v>848620</v>
      </c>
      <c r="S48" s="77">
        <f t="shared" si="21"/>
        <v>281</v>
      </c>
      <c r="T48" s="77">
        <f t="shared" si="22"/>
        <v>953.66</v>
      </c>
      <c r="U48" s="77">
        <f t="shared" si="23"/>
        <v>2825.66</v>
      </c>
      <c r="V48" s="78">
        <f t="shared" si="24"/>
        <v>3020</v>
      </c>
      <c r="W48" s="78">
        <f t="shared" si="25"/>
        <v>8533493</v>
      </c>
      <c r="X48" s="81">
        <f>'Tables 6-8 Local Wealth'!M48</f>
        <v>0.47159674</v>
      </c>
      <c r="Y48" s="81">
        <f t="shared" si="26"/>
        <v>0.00284523</v>
      </c>
      <c r="Z48" s="81">
        <f t="shared" si="27"/>
        <v>0.0013418</v>
      </c>
      <c r="AA48" s="78">
        <f t="shared" si="50"/>
        <v>1408528.93061006</v>
      </c>
      <c r="AB48" s="82">
        <f t="shared" si="28"/>
        <v>0.1651</v>
      </c>
      <c r="AC48" s="83">
        <f t="shared" si="29"/>
        <v>7124964.06938994</v>
      </c>
      <c r="AD48" s="82">
        <f t="shared" si="30"/>
        <v>0.8349</v>
      </c>
      <c r="AE48" s="78">
        <f>'Tables 6-8 Local Wealth'!BI48</f>
        <v>3178867</v>
      </c>
      <c r="AF48" s="78">
        <f t="shared" si="31"/>
        <v>1770338.06938994</v>
      </c>
      <c r="AG48" s="86">
        <f t="shared" si="32"/>
        <v>0</v>
      </c>
      <c r="AH48" s="78">
        <f t="shared" si="33"/>
        <v>2816053</v>
      </c>
      <c r="AI48" s="78">
        <f t="shared" si="34"/>
        <v>1770338.06938994</v>
      </c>
      <c r="AJ48" s="83">
        <f t="shared" si="35"/>
        <v>1269406.6720566263</v>
      </c>
      <c r="AK48" s="82">
        <f t="shared" si="36"/>
        <v>0.717041956</v>
      </c>
      <c r="AL48" s="78">
        <f t="shared" si="37"/>
        <v>749821.4792630416</v>
      </c>
      <c r="AM48" s="78">
        <f t="shared" si="38"/>
        <v>3039744.7414465663</v>
      </c>
      <c r="AN48" s="78">
        <f t="shared" si="39"/>
        <v>8394370.741446566</v>
      </c>
      <c r="AO48" s="78">
        <f t="shared" si="40"/>
        <v>4484.1724</v>
      </c>
      <c r="AP48" s="78">
        <v>7316559</v>
      </c>
      <c r="AQ48" s="73">
        <v>1960</v>
      </c>
      <c r="AR48" s="163">
        <f t="shared" si="41"/>
        <v>3732.94</v>
      </c>
      <c r="AS48" s="82">
        <f t="shared" si="51"/>
        <v>0.8324702234909612</v>
      </c>
      <c r="AT48" s="310">
        <f t="shared" si="42"/>
        <v>1077811.7414465658</v>
      </c>
      <c r="AU48" s="78">
        <f t="shared" si="52"/>
        <v>1077811.7328</v>
      </c>
      <c r="AV48" s="78">
        <f t="shared" si="43"/>
        <v>0</v>
      </c>
      <c r="AW48" s="77">
        <f t="shared" si="53"/>
        <v>0</v>
      </c>
      <c r="AX48" s="78">
        <f t="shared" si="44"/>
        <v>0</v>
      </c>
      <c r="AY48" s="78">
        <f t="shared" si="54"/>
        <v>6988063.68</v>
      </c>
      <c r="AZ48" s="78">
        <f t="shared" si="45"/>
        <v>8394370.7328</v>
      </c>
      <c r="BA48" s="78">
        <f t="shared" si="46"/>
        <v>8394370.7328</v>
      </c>
      <c r="BB48" s="78">
        <f t="shared" si="55"/>
        <v>4484.17</v>
      </c>
      <c r="BC48" s="82">
        <f t="shared" si="56"/>
        <v>0.9999994647841818</v>
      </c>
      <c r="BD48" s="82">
        <f t="shared" si="47"/>
        <v>0.73</v>
      </c>
      <c r="BE48" s="78">
        <f t="shared" si="57"/>
        <v>3178867</v>
      </c>
      <c r="BF48" s="78">
        <f t="shared" si="58"/>
        <v>1698.11</v>
      </c>
      <c r="BG48" s="82">
        <f t="shared" si="48"/>
        <v>0.2747</v>
      </c>
      <c r="BH48" s="78">
        <f t="shared" si="49"/>
        <v>11573237.73</v>
      </c>
      <c r="BI48" s="78">
        <f t="shared" si="59"/>
        <v>6182.29</v>
      </c>
      <c r="BJ48" s="77">
        <v>2029</v>
      </c>
      <c r="BK48" s="7">
        <v>41</v>
      </c>
      <c r="BL48" s="77" t="s">
        <v>47</v>
      </c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</row>
    <row r="49" spans="1:164" s="7" customFormat="1" ht="12.75">
      <c r="A49" s="76">
        <v>42</v>
      </c>
      <c r="B49" s="77" t="s">
        <v>48</v>
      </c>
      <c r="C49" s="77">
        <v>3807</v>
      </c>
      <c r="D49" s="77">
        <v>2689</v>
      </c>
      <c r="E49" s="78">
        <f t="shared" si="10"/>
        <v>1380533</v>
      </c>
      <c r="F49" s="79">
        <f t="shared" si="11"/>
        <v>457.13</v>
      </c>
      <c r="G49" s="77">
        <v>901</v>
      </c>
      <c r="H49" s="78">
        <f t="shared" si="12"/>
        <v>135900</v>
      </c>
      <c r="I49" s="77">
        <f t="shared" si="13"/>
        <v>45</v>
      </c>
      <c r="J49" s="77">
        <v>438</v>
      </c>
      <c r="K49" s="78">
        <f t="shared" si="14"/>
        <v>1984140</v>
      </c>
      <c r="L49" s="77">
        <f t="shared" si="15"/>
        <v>657</v>
      </c>
      <c r="M49" s="77">
        <v>136</v>
      </c>
      <c r="N49" s="78">
        <f t="shared" si="16"/>
        <v>247640</v>
      </c>
      <c r="O49" s="77">
        <f t="shared" si="17"/>
        <v>82</v>
      </c>
      <c r="P49" s="77">
        <f t="shared" si="18"/>
        <v>3693</v>
      </c>
      <c r="Q49" s="74">
        <f t="shared" si="19"/>
        <v>0.09848</v>
      </c>
      <c r="R49" s="78">
        <f t="shared" si="20"/>
        <v>1132500</v>
      </c>
      <c r="S49" s="77">
        <f t="shared" si="21"/>
        <v>375</v>
      </c>
      <c r="T49" s="77">
        <f t="shared" si="22"/>
        <v>1616.13</v>
      </c>
      <c r="U49" s="77">
        <f t="shared" si="23"/>
        <v>5423.13</v>
      </c>
      <c r="V49" s="78">
        <f t="shared" si="24"/>
        <v>3020</v>
      </c>
      <c r="W49" s="78">
        <f t="shared" si="25"/>
        <v>16377853</v>
      </c>
      <c r="X49" s="81">
        <f>'Tables 6-8 Local Wealth'!M49</f>
        <v>0.55783291</v>
      </c>
      <c r="Y49" s="81">
        <f t="shared" si="26"/>
        <v>0.00546068</v>
      </c>
      <c r="Z49" s="81">
        <f t="shared" si="27"/>
        <v>0.00304615</v>
      </c>
      <c r="AA49" s="78">
        <f t="shared" si="50"/>
        <v>3197637.801444205</v>
      </c>
      <c r="AB49" s="82">
        <f t="shared" si="28"/>
        <v>0.1952</v>
      </c>
      <c r="AC49" s="83">
        <f t="shared" si="29"/>
        <v>13180215.198555795</v>
      </c>
      <c r="AD49" s="82">
        <f t="shared" si="30"/>
        <v>0.8048</v>
      </c>
      <c r="AE49" s="78">
        <f>'Tables 6-8 Local Wealth'!BI49</f>
        <v>3985422</v>
      </c>
      <c r="AF49" s="78">
        <f t="shared" si="31"/>
        <v>787784.198555795</v>
      </c>
      <c r="AG49" s="86">
        <f t="shared" si="32"/>
        <v>0</v>
      </c>
      <c r="AH49" s="78">
        <f t="shared" si="33"/>
        <v>5404691</v>
      </c>
      <c r="AI49" s="78">
        <f t="shared" si="34"/>
        <v>787784.198555795</v>
      </c>
      <c r="AJ49" s="83">
        <f t="shared" si="35"/>
        <v>524113.0273963568</v>
      </c>
      <c r="AK49" s="82">
        <f t="shared" si="36"/>
        <v>0.6653002539999999</v>
      </c>
      <c r="AL49" s="78">
        <f t="shared" si="37"/>
        <v>3071629.267695157</v>
      </c>
      <c r="AM49" s="78">
        <f t="shared" si="38"/>
        <v>1311897.2259521517</v>
      </c>
      <c r="AN49" s="78">
        <f t="shared" si="39"/>
        <v>13704328.225952152</v>
      </c>
      <c r="AO49" s="78">
        <f t="shared" si="40"/>
        <v>3599.77101</v>
      </c>
      <c r="AP49" s="78">
        <v>13671139</v>
      </c>
      <c r="AQ49" s="73">
        <v>3873</v>
      </c>
      <c r="AR49" s="163">
        <f t="shared" si="41"/>
        <v>3529.86</v>
      </c>
      <c r="AS49" s="82">
        <f t="shared" si="51"/>
        <v>0.9805790396650814</v>
      </c>
      <c r="AT49" s="310">
        <f t="shared" si="42"/>
        <v>33189.22595215216</v>
      </c>
      <c r="AU49" s="78">
        <f t="shared" si="52"/>
        <v>33189.2351</v>
      </c>
      <c r="AV49" s="78">
        <f t="shared" si="43"/>
        <v>0</v>
      </c>
      <c r="AW49" s="77">
        <f t="shared" si="53"/>
        <v>0</v>
      </c>
      <c r="AX49" s="78">
        <f t="shared" si="44"/>
        <v>0</v>
      </c>
      <c r="AY49" s="78">
        <f t="shared" si="54"/>
        <v>13438177.02</v>
      </c>
      <c r="AZ49" s="78">
        <f t="shared" si="45"/>
        <v>13704328.2351</v>
      </c>
      <c r="BA49" s="78">
        <f t="shared" si="46"/>
        <v>13704328.2351</v>
      </c>
      <c r="BB49" s="78">
        <f t="shared" si="55"/>
        <v>3599.77</v>
      </c>
      <c r="BC49" s="82">
        <f t="shared" si="56"/>
        <v>0.9999997194265976</v>
      </c>
      <c r="BD49" s="82">
        <f t="shared" si="47"/>
        <v>0.77</v>
      </c>
      <c r="BE49" s="78">
        <f t="shared" si="57"/>
        <v>3985422</v>
      </c>
      <c r="BF49" s="78">
        <f t="shared" si="58"/>
        <v>1046.87</v>
      </c>
      <c r="BG49" s="82">
        <f t="shared" si="48"/>
        <v>0.2253</v>
      </c>
      <c r="BH49" s="78">
        <f t="shared" si="49"/>
        <v>17689750.24</v>
      </c>
      <c r="BI49" s="78">
        <f t="shared" si="59"/>
        <v>4646.64</v>
      </c>
      <c r="BJ49" s="77">
        <v>4068</v>
      </c>
      <c r="BK49" s="7">
        <v>42</v>
      </c>
      <c r="BL49" s="77" t="s">
        <v>48</v>
      </c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</row>
    <row r="50" spans="1:164" s="7" customFormat="1" ht="12.75">
      <c r="A50" s="76">
        <v>43</v>
      </c>
      <c r="B50" s="77" t="s">
        <v>49</v>
      </c>
      <c r="C50" s="77">
        <v>4362</v>
      </c>
      <c r="D50" s="77">
        <v>2782</v>
      </c>
      <c r="E50" s="78">
        <f t="shared" si="10"/>
        <v>1428279</v>
      </c>
      <c r="F50" s="79">
        <f t="shared" si="11"/>
        <v>472.94</v>
      </c>
      <c r="G50" s="77">
        <v>1841</v>
      </c>
      <c r="H50" s="78">
        <f t="shared" si="12"/>
        <v>277840</v>
      </c>
      <c r="I50" s="77">
        <f t="shared" si="13"/>
        <v>92</v>
      </c>
      <c r="J50" s="77">
        <v>653</v>
      </c>
      <c r="K50" s="78">
        <f t="shared" si="14"/>
        <v>2959600</v>
      </c>
      <c r="L50" s="77">
        <f t="shared" si="15"/>
        <v>980</v>
      </c>
      <c r="M50" s="77">
        <v>82</v>
      </c>
      <c r="N50" s="78">
        <f t="shared" si="16"/>
        <v>147980</v>
      </c>
      <c r="O50" s="77">
        <f t="shared" si="17"/>
        <v>49</v>
      </c>
      <c r="P50" s="77">
        <f t="shared" si="18"/>
        <v>3138</v>
      </c>
      <c r="Q50" s="74">
        <f t="shared" si="19"/>
        <v>0.08368</v>
      </c>
      <c r="R50" s="78">
        <f t="shared" si="20"/>
        <v>1102300</v>
      </c>
      <c r="S50" s="77">
        <f t="shared" si="21"/>
        <v>365</v>
      </c>
      <c r="T50" s="77">
        <f t="shared" si="22"/>
        <v>1958.94</v>
      </c>
      <c r="U50" s="77">
        <f t="shared" si="23"/>
        <v>6320.9400000000005</v>
      </c>
      <c r="V50" s="78">
        <f t="shared" si="24"/>
        <v>3020</v>
      </c>
      <c r="W50" s="78">
        <f t="shared" si="25"/>
        <v>19089239</v>
      </c>
      <c r="X50" s="81">
        <f>'Tables 6-8 Local Wealth'!M50</f>
        <v>0.64047037</v>
      </c>
      <c r="Y50" s="81">
        <f t="shared" si="26"/>
        <v>0.00636471</v>
      </c>
      <c r="Z50" s="81">
        <f t="shared" si="27"/>
        <v>0.00407641</v>
      </c>
      <c r="AA50" s="78">
        <f t="shared" si="50"/>
        <v>4279133.565380947</v>
      </c>
      <c r="AB50" s="82">
        <f t="shared" si="28"/>
        <v>0.2242</v>
      </c>
      <c r="AC50" s="83">
        <f t="shared" si="29"/>
        <v>14810105.434619054</v>
      </c>
      <c r="AD50" s="82">
        <f t="shared" si="30"/>
        <v>0.7758</v>
      </c>
      <c r="AE50" s="78">
        <f>'Tables 6-8 Local Wealth'!BI50</f>
        <v>4995006</v>
      </c>
      <c r="AF50" s="78">
        <f t="shared" si="31"/>
        <v>715872.4346190533</v>
      </c>
      <c r="AG50" s="86">
        <f t="shared" si="32"/>
        <v>0</v>
      </c>
      <c r="AH50" s="78">
        <f t="shared" si="33"/>
        <v>6299449</v>
      </c>
      <c r="AI50" s="78">
        <f t="shared" si="34"/>
        <v>715872.4346190533</v>
      </c>
      <c r="AJ50" s="83">
        <f t="shared" si="35"/>
        <v>440775.3847750938</v>
      </c>
      <c r="AK50" s="82">
        <f t="shared" si="36"/>
        <v>0.615717778</v>
      </c>
      <c r="AL50" s="78">
        <f t="shared" si="37"/>
        <v>3437907.3561292286</v>
      </c>
      <c r="AM50" s="78">
        <f t="shared" si="38"/>
        <v>1156647.819394147</v>
      </c>
      <c r="AN50" s="78">
        <f t="shared" si="39"/>
        <v>15250880.819394149</v>
      </c>
      <c r="AO50" s="78">
        <f t="shared" si="40"/>
        <v>3496.30464</v>
      </c>
      <c r="AP50" s="78">
        <v>14597899</v>
      </c>
      <c r="AQ50" s="73">
        <v>4438</v>
      </c>
      <c r="AR50" s="163">
        <f t="shared" si="41"/>
        <v>3289.3</v>
      </c>
      <c r="AS50" s="82">
        <f t="shared" si="51"/>
        <v>0.9407933057000435</v>
      </c>
      <c r="AT50" s="310">
        <f t="shared" si="42"/>
        <v>652981.8193941489</v>
      </c>
      <c r="AU50" s="78">
        <f t="shared" si="52"/>
        <v>652981.8397</v>
      </c>
      <c r="AV50" s="78">
        <f t="shared" si="43"/>
        <v>0</v>
      </c>
      <c r="AW50" s="77">
        <f t="shared" si="53"/>
        <v>0</v>
      </c>
      <c r="AX50" s="78">
        <f t="shared" si="44"/>
        <v>0</v>
      </c>
      <c r="AY50" s="78">
        <f t="shared" si="54"/>
        <v>14347926.600000001</v>
      </c>
      <c r="AZ50" s="78">
        <f t="shared" si="45"/>
        <v>15250880.8397</v>
      </c>
      <c r="BA50" s="78">
        <f t="shared" si="46"/>
        <v>15250880.8397</v>
      </c>
      <c r="BB50" s="78">
        <f t="shared" si="55"/>
        <v>3496.3</v>
      </c>
      <c r="BC50" s="82">
        <f t="shared" si="56"/>
        <v>0.9999986728845232</v>
      </c>
      <c r="BD50" s="82">
        <f t="shared" si="47"/>
        <v>0.75</v>
      </c>
      <c r="BE50" s="78">
        <f t="shared" si="57"/>
        <v>4995006</v>
      </c>
      <c r="BF50" s="78">
        <f t="shared" si="58"/>
        <v>1145.12</v>
      </c>
      <c r="BG50" s="82">
        <f t="shared" si="48"/>
        <v>0.2467</v>
      </c>
      <c r="BH50" s="78">
        <f t="shared" si="49"/>
        <v>20245886.84</v>
      </c>
      <c r="BI50" s="78">
        <f t="shared" si="59"/>
        <v>4641.42</v>
      </c>
      <c r="BJ50" s="77">
        <v>4577</v>
      </c>
      <c r="BK50" s="7">
        <v>43</v>
      </c>
      <c r="BL50" s="77" t="s">
        <v>49</v>
      </c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</row>
    <row r="51" spans="1:164" s="7" customFormat="1" ht="12.75">
      <c r="A51" s="76">
        <v>44</v>
      </c>
      <c r="B51" s="77" t="s">
        <v>50</v>
      </c>
      <c r="C51" s="77">
        <v>8645</v>
      </c>
      <c r="D51" s="77">
        <v>4264</v>
      </c>
      <c r="E51" s="78">
        <f t="shared" si="10"/>
        <v>2189138</v>
      </c>
      <c r="F51" s="79">
        <f t="shared" si="11"/>
        <v>724.88</v>
      </c>
      <c r="G51" s="77">
        <v>1470</v>
      </c>
      <c r="H51" s="78">
        <f t="shared" si="12"/>
        <v>223480</v>
      </c>
      <c r="I51" s="77">
        <f t="shared" si="13"/>
        <v>74</v>
      </c>
      <c r="J51" s="77">
        <v>1247</v>
      </c>
      <c r="K51" s="78">
        <f t="shared" si="14"/>
        <v>5650420</v>
      </c>
      <c r="L51" s="77">
        <f t="shared" si="15"/>
        <v>1871</v>
      </c>
      <c r="M51" s="77">
        <v>297</v>
      </c>
      <c r="N51" s="78">
        <f t="shared" si="16"/>
        <v>537560</v>
      </c>
      <c r="O51" s="77">
        <f t="shared" si="17"/>
        <v>178</v>
      </c>
      <c r="P51" s="77">
        <f t="shared" si="18"/>
        <v>0</v>
      </c>
      <c r="Q51" s="74">
        <f t="shared" si="19"/>
        <v>0</v>
      </c>
      <c r="R51" s="78">
        <f t="shared" si="20"/>
        <v>0</v>
      </c>
      <c r="S51" s="77">
        <f t="shared" si="21"/>
        <v>0</v>
      </c>
      <c r="T51" s="77">
        <f t="shared" si="22"/>
        <v>2847.88</v>
      </c>
      <c r="U51" s="77">
        <f t="shared" si="23"/>
        <v>11492.880000000001</v>
      </c>
      <c r="V51" s="78">
        <f t="shared" si="24"/>
        <v>3020</v>
      </c>
      <c r="W51" s="78">
        <f t="shared" si="25"/>
        <v>34708498</v>
      </c>
      <c r="X51" s="81">
        <f>'Tables 6-8 Local Wealth'!M51</f>
        <v>1.02495026</v>
      </c>
      <c r="Y51" s="81">
        <f t="shared" si="26"/>
        <v>0.01157246</v>
      </c>
      <c r="Z51" s="81">
        <f t="shared" si="27"/>
        <v>0.0118612</v>
      </c>
      <c r="AA51" s="78">
        <f t="shared" si="50"/>
        <v>12451068.23055004</v>
      </c>
      <c r="AB51" s="82">
        <f t="shared" si="28"/>
        <v>0.3587</v>
      </c>
      <c r="AC51" s="83">
        <f t="shared" si="29"/>
        <v>22257429.76944996</v>
      </c>
      <c r="AD51" s="82">
        <f t="shared" si="30"/>
        <v>0.6413</v>
      </c>
      <c r="AE51" s="78">
        <f>'Tables 6-8 Local Wealth'!BI51</f>
        <v>18348102</v>
      </c>
      <c r="AF51" s="78">
        <f t="shared" si="31"/>
        <v>5897033.76944996</v>
      </c>
      <c r="AG51" s="86">
        <f t="shared" si="32"/>
        <v>0</v>
      </c>
      <c r="AH51" s="78">
        <f t="shared" si="33"/>
        <v>11453804</v>
      </c>
      <c r="AI51" s="78">
        <f t="shared" si="34"/>
        <v>5897033.76944996</v>
      </c>
      <c r="AJ51" s="83">
        <f t="shared" si="35"/>
        <v>2270533.9923140504</v>
      </c>
      <c r="AK51" s="82">
        <f t="shared" si="36"/>
        <v>0.385029844</v>
      </c>
      <c r="AL51" s="78">
        <f t="shared" si="37"/>
        <v>2139522.3750125268</v>
      </c>
      <c r="AM51" s="78">
        <f t="shared" si="38"/>
        <v>8167567.76176401</v>
      </c>
      <c r="AN51" s="78">
        <f t="shared" si="39"/>
        <v>24527963.761764012</v>
      </c>
      <c r="AO51" s="78">
        <f t="shared" si="40"/>
        <v>2837.24277</v>
      </c>
      <c r="AP51" s="78">
        <v>24998952</v>
      </c>
      <c r="AQ51" s="73">
        <v>8871</v>
      </c>
      <c r="AR51" s="163">
        <f t="shared" si="41"/>
        <v>2818.05</v>
      </c>
      <c r="AS51" s="82">
        <f t="shared" si="51"/>
        <v>0.9932354149588688</v>
      </c>
      <c r="AT51" s="310">
        <f t="shared" si="42"/>
        <v>0</v>
      </c>
      <c r="AU51" s="78">
        <f t="shared" si="52"/>
        <v>-470988.2533</v>
      </c>
      <c r="AV51" s="78">
        <f t="shared" si="43"/>
        <v>0</v>
      </c>
      <c r="AW51" s="77">
        <f t="shared" si="53"/>
        <v>0</v>
      </c>
      <c r="AX51" s="78">
        <f t="shared" si="44"/>
        <v>0</v>
      </c>
      <c r="AY51" s="78">
        <f t="shared" si="54"/>
        <v>24362042.25</v>
      </c>
      <c r="AZ51" s="78">
        <f t="shared" si="45"/>
        <v>24527963.7467</v>
      </c>
      <c r="BA51" s="78">
        <f t="shared" si="46"/>
        <v>24527963.7467</v>
      </c>
      <c r="BB51" s="78">
        <f t="shared" si="55"/>
        <v>2837.24</v>
      </c>
      <c r="BC51" s="82">
        <f t="shared" si="56"/>
        <v>0.999999023700041</v>
      </c>
      <c r="BD51" s="82">
        <f t="shared" si="47"/>
        <v>0.57</v>
      </c>
      <c r="BE51" s="78">
        <f t="shared" si="57"/>
        <v>18348102</v>
      </c>
      <c r="BF51" s="78">
        <f t="shared" si="58"/>
        <v>2122.39</v>
      </c>
      <c r="BG51" s="82">
        <f t="shared" si="48"/>
        <v>0.4279</v>
      </c>
      <c r="BH51" s="78">
        <f t="shared" si="49"/>
        <v>42876065.75</v>
      </c>
      <c r="BI51" s="78">
        <f t="shared" si="59"/>
        <v>4959.64</v>
      </c>
      <c r="BJ51" s="77">
        <v>9006</v>
      </c>
      <c r="BK51" s="7">
        <v>44</v>
      </c>
      <c r="BL51" s="77" t="s">
        <v>50</v>
      </c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</row>
    <row r="52" spans="1:164" s="124" customFormat="1" ht="12.75">
      <c r="A52" s="115">
        <v>45</v>
      </c>
      <c r="B52" s="116" t="s">
        <v>51</v>
      </c>
      <c r="C52" s="116">
        <v>9755</v>
      </c>
      <c r="D52" s="116">
        <v>4094</v>
      </c>
      <c r="E52" s="117">
        <f t="shared" si="10"/>
        <v>2101860</v>
      </c>
      <c r="F52" s="118">
        <f t="shared" si="11"/>
        <v>695.98</v>
      </c>
      <c r="G52" s="116">
        <v>1976</v>
      </c>
      <c r="H52" s="117">
        <f t="shared" si="12"/>
        <v>298980</v>
      </c>
      <c r="I52" s="116">
        <f t="shared" si="13"/>
        <v>99</v>
      </c>
      <c r="J52" s="116">
        <v>997</v>
      </c>
      <c r="K52" s="117">
        <f t="shared" si="14"/>
        <v>4517920</v>
      </c>
      <c r="L52" s="116">
        <f t="shared" si="15"/>
        <v>1496</v>
      </c>
      <c r="M52" s="116">
        <v>638</v>
      </c>
      <c r="N52" s="117">
        <f t="shared" si="16"/>
        <v>1156660</v>
      </c>
      <c r="O52" s="116">
        <f t="shared" si="17"/>
        <v>383</v>
      </c>
      <c r="P52" s="116">
        <f t="shared" si="18"/>
        <v>0</v>
      </c>
      <c r="Q52" s="119">
        <f t="shared" si="19"/>
        <v>0</v>
      </c>
      <c r="R52" s="117">
        <f t="shared" si="20"/>
        <v>0</v>
      </c>
      <c r="S52" s="116">
        <f t="shared" si="21"/>
        <v>0</v>
      </c>
      <c r="T52" s="116">
        <f t="shared" si="22"/>
        <v>2673.98</v>
      </c>
      <c r="U52" s="116">
        <f t="shared" si="23"/>
        <v>12428.98</v>
      </c>
      <c r="V52" s="117">
        <f t="shared" si="24"/>
        <v>3020</v>
      </c>
      <c r="W52" s="117">
        <f t="shared" si="25"/>
        <v>37535520</v>
      </c>
      <c r="X52" s="121">
        <f>'Tables 6-8 Local Wealth'!M52</f>
        <v>2.20871929</v>
      </c>
      <c r="Y52" s="121">
        <f t="shared" si="26"/>
        <v>0.01251505</v>
      </c>
      <c r="Z52" s="121">
        <f t="shared" si="27"/>
        <v>0.02764223</v>
      </c>
      <c r="AA52" s="117">
        <f t="shared" si="50"/>
        <v>29016903.16110994</v>
      </c>
      <c r="AB52" s="122">
        <f t="shared" si="28"/>
        <v>0.7731</v>
      </c>
      <c r="AC52" s="123">
        <f t="shared" si="29"/>
        <v>8518616.83889006</v>
      </c>
      <c r="AD52" s="122">
        <f t="shared" si="30"/>
        <v>0.2269</v>
      </c>
      <c r="AE52" s="117">
        <f>'Tables 6-8 Local Wealth'!BI52</f>
        <v>54936237</v>
      </c>
      <c r="AF52" s="117">
        <f t="shared" si="31"/>
        <v>25919333.83889006</v>
      </c>
      <c r="AG52" s="179">
        <f t="shared" si="32"/>
        <v>0</v>
      </c>
      <c r="AH52" s="117">
        <f t="shared" si="33"/>
        <v>12386722</v>
      </c>
      <c r="AI52" s="117">
        <f t="shared" si="34"/>
        <v>12386722</v>
      </c>
      <c r="AJ52" s="123">
        <f t="shared" si="35"/>
        <v>0</v>
      </c>
      <c r="AK52" s="122">
        <f t="shared" si="36"/>
        <v>0</v>
      </c>
      <c r="AL52" s="117">
        <f t="shared" si="37"/>
        <v>0</v>
      </c>
      <c r="AM52" s="117">
        <f t="shared" si="38"/>
        <v>12386722</v>
      </c>
      <c r="AN52" s="117">
        <f t="shared" si="39"/>
        <v>8518616.83889006</v>
      </c>
      <c r="AO52" s="117">
        <f t="shared" si="40"/>
        <v>873.25647</v>
      </c>
      <c r="AP52" s="117">
        <v>22376911</v>
      </c>
      <c r="AQ52" s="162">
        <v>9914</v>
      </c>
      <c r="AR52" s="164">
        <f t="shared" si="41"/>
        <v>2257.1</v>
      </c>
      <c r="AS52" s="122">
        <f t="shared" si="51"/>
        <v>2.584693131446252</v>
      </c>
      <c r="AT52" s="311">
        <f t="shared" si="42"/>
        <v>0</v>
      </c>
      <c r="AU52" s="117">
        <f t="shared" si="52"/>
        <v>-358900.5</v>
      </c>
      <c r="AV52" s="117">
        <f t="shared" si="43"/>
        <v>13499393.6351</v>
      </c>
      <c r="AW52" s="116">
        <f t="shared" si="53"/>
        <v>9755</v>
      </c>
      <c r="AX52" s="117">
        <f t="shared" si="44"/>
        <v>1383.8435299948744</v>
      </c>
      <c r="AY52" s="117">
        <f t="shared" si="54"/>
        <v>22018010.5</v>
      </c>
      <c r="AZ52" s="117">
        <f t="shared" si="45"/>
        <v>8518616.8649</v>
      </c>
      <c r="BA52" s="117">
        <f t="shared" si="46"/>
        <v>22018010.5</v>
      </c>
      <c r="BB52" s="117">
        <f t="shared" si="55"/>
        <v>2257.1</v>
      </c>
      <c r="BC52" s="122">
        <f t="shared" si="56"/>
        <v>2.584693131446252</v>
      </c>
      <c r="BD52" s="122">
        <f t="shared" si="47"/>
        <v>0.44</v>
      </c>
      <c r="BE52" s="117">
        <f t="shared" si="57"/>
        <v>27904231.53</v>
      </c>
      <c r="BF52" s="117">
        <f t="shared" si="58"/>
        <v>2860.51</v>
      </c>
      <c r="BG52" s="122">
        <f t="shared" si="48"/>
        <v>0.559</v>
      </c>
      <c r="BH52" s="117">
        <f t="shared" si="49"/>
        <v>49922242.03</v>
      </c>
      <c r="BI52" s="117">
        <f t="shared" si="59"/>
        <v>5117.61</v>
      </c>
      <c r="BJ52" s="116">
        <v>10001</v>
      </c>
      <c r="BK52" s="124">
        <v>45</v>
      </c>
      <c r="BL52" s="116" t="s">
        <v>51</v>
      </c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</row>
    <row r="53" spans="1:164" s="7" customFormat="1" ht="12.75">
      <c r="A53" s="76">
        <v>46</v>
      </c>
      <c r="B53" s="77" t="s">
        <v>52</v>
      </c>
      <c r="C53" s="77">
        <v>1485</v>
      </c>
      <c r="D53" s="77">
        <v>1360</v>
      </c>
      <c r="E53" s="78">
        <f t="shared" si="10"/>
        <v>698224</v>
      </c>
      <c r="F53" s="79">
        <f t="shared" si="11"/>
        <v>231.2</v>
      </c>
      <c r="G53" s="77">
        <v>804</v>
      </c>
      <c r="H53" s="78">
        <f t="shared" si="12"/>
        <v>120800</v>
      </c>
      <c r="I53" s="77">
        <f t="shared" si="13"/>
        <v>40</v>
      </c>
      <c r="J53" s="77">
        <v>276</v>
      </c>
      <c r="K53" s="78">
        <f t="shared" si="14"/>
        <v>1250280</v>
      </c>
      <c r="L53" s="77">
        <f t="shared" si="15"/>
        <v>414</v>
      </c>
      <c r="M53" s="77">
        <v>2</v>
      </c>
      <c r="N53" s="78">
        <f t="shared" si="16"/>
        <v>3020</v>
      </c>
      <c r="O53" s="77">
        <f t="shared" si="17"/>
        <v>1</v>
      </c>
      <c r="P53" s="77">
        <f t="shared" si="18"/>
        <v>6015</v>
      </c>
      <c r="Q53" s="74">
        <f t="shared" si="19"/>
        <v>0.1604</v>
      </c>
      <c r="R53" s="78">
        <f t="shared" si="20"/>
        <v>718760</v>
      </c>
      <c r="S53" s="77">
        <f t="shared" si="21"/>
        <v>238</v>
      </c>
      <c r="T53" s="77">
        <f t="shared" si="22"/>
        <v>924.2</v>
      </c>
      <c r="U53" s="77">
        <f t="shared" si="23"/>
        <v>2409.2</v>
      </c>
      <c r="V53" s="78">
        <f t="shared" si="24"/>
        <v>3020</v>
      </c>
      <c r="W53" s="78">
        <f t="shared" si="25"/>
        <v>7275784</v>
      </c>
      <c r="X53" s="81">
        <f>'Tables 6-8 Local Wealth'!M53</f>
        <v>0.48097368</v>
      </c>
      <c r="Y53" s="81">
        <f t="shared" si="26"/>
        <v>0.00242588</v>
      </c>
      <c r="Z53" s="81">
        <f t="shared" si="27"/>
        <v>0.00116678</v>
      </c>
      <c r="AA53" s="78">
        <f t="shared" si="50"/>
        <v>1224805.027319426</v>
      </c>
      <c r="AB53" s="82">
        <f t="shared" si="28"/>
        <v>0.1683</v>
      </c>
      <c r="AC53" s="83">
        <f t="shared" si="29"/>
        <v>6050978.972680574</v>
      </c>
      <c r="AD53" s="82">
        <f t="shared" si="30"/>
        <v>0.8317</v>
      </c>
      <c r="AE53" s="78">
        <f>'Tables 6-8 Local Wealth'!BI53</f>
        <v>1343285</v>
      </c>
      <c r="AF53" s="78">
        <f t="shared" si="31"/>
        <v>118479.97268057405</v>
      </c>
      <c r="AG53" s="86">
        <f t="shared" si="32"/>
        <v>0</v>
      </c>
      <c r="AH53" s="78">
        <f t="shared" si="33"/>
        <v>2401009</v>
      </c>
      <c r="AI53" s="78">
        <f t="shared" si="34"/>
        <v>118479.97268057405</v>
      </c>
      <c r="AJ53" s="83">
        <f t="shared" si="35"/>
        <v>84288.52360068895</v>
      </c>
      <c r="AK53" s="82">
        <f t="shared" si="36"/>
        <v>0.7114157919999999</v>
      </c>
      <c r="AL53" s="78">
        <f t="shared" si="37"/>
        <v>1623827.195733439</v>
      </c>
      <c r="AM53" s="78">
        <f t="shared" si="38"/>
        <v>202768.496281263</v>
      </c>
      <c r="AN53" s="78">
        <f t="shared" si="39"/>
        <v>6135267.496281263</v>
      </c>
      <c r="AO53" s="78">
        <f t="shared" si="40"/>
        <v>4131.49326</v>
      </c>
      <c r="AP53" s="78">
        <v>5664312</v>
      </c>
      <c r="AQ53" s="73">
        <v>1461</v>
      </c>
      <c r="AR53" s="163">
        <f t="shared" si="41"/>
        <v>3877.01</v>
      </c>
      <c r="AS53" s="82">
        <f t="shared" si="51"/>
        <v>0.9384040481285936</v>
      </c>
      <c r="AT53" s="310">
        <f t="shared" si="42"/>
        <v>470955.4962812634</v>
      </c>
      <c r="AU53" s="78">
        <f t="shared" si="52"/>
        <v>470955.4911</v>
      </c>
      <c r="AV53" s="78">
        <f t="shared" si="43"/>
        <v>0</v>
      </c>
      <c r="AW53" s="77">
        <f t="shared" si="53"/>
        <v>0</v>
      </c>
      <c r="AX53" s="78">
        <f t="shared" si="44"/>
        <v>0</v>
      </c>
      <c r="AY53" s="78">
        <f t="shared" si="54"/>
        <v>5664312</v>
      </c>
      <c r="AZ53" s="78">
        <f t="shared" si="45"/>
        <v>6135267.4911</v>
      </c>
      <c r="BA53" s="78">
        <f t="shared" si="46"/>
        <v>6135267.4911</v>
      </c>
      <c r="BB53" s="78">
        <f t="shared" si="55"/>
        <v>4131.49</v>
      </c>
      <c r="BC53" s="82">
        <f t="shared" si="56"/>
        <v>0.9999992109390491</v>
      </c>
      <c r="BD53" s="82">
        <f t="shared" si="47"/>
        <v>0.82</v>
      </c>
      <c r="BE53" s="78">
        <f t="shared" si="57"/>
        <v>1343285</v>
      </c>
      <c r="BF53" s="78">
        <f t="shared" si="58"/>
        <v>904.57</v>
      </c>
      <c r="BG53" s="82">
        <f t="shared" si="48"/>
        <v>0.1796</v>
      </c>
      <c r="BH53" s="78">
        <f t="shared" si="49"/>
        <v>7478552.49</v>
      </c>
      <c r="BI53" s="78">
        <f t="shared" si="59"/>
        <v>5036.06</v>
      </c>
      <c r="BJ53" s="77">
        <v>1550</v>
      </c>
      <c r="BK53" s="7">
        <v>46</v>
      </c>
      <c r="BL53" s="77" t="s">
        <v>52</v>
      </c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</row>
    <row r="54" spans="1:164" s="7" customFormat="1" ht="12.75">
      <c r="A54" s="76">
        <v>47</v>
      </c>
      <c r="B54" s="77" t="s">
        <v>53</v>
      </c>
      <c r="C54" s="77">
        <v>3992</v>
      </c>
      <c r="D54" s="77">
        <v>2740</v>
      </c>
      <c r="E54" s="78">
        <f t="shared" si="10"/>
        <v>1406716</v>
      </c>
      <c r="F54" s="79">
        <f t="shared" si="11"/>
        <v>465.8</v>
      </c>
      <c r="G54" s="77">
        <v>1281</v>
      </c>
      <c r="H54" s="78">
        <f t="shared" si="12"/>
        <v>193280</v>
      </c>
      <c r="I54" s="77">
        <f t="shared" si="13"/>
        <v>64</v>
      </c>
      <c r="J54" s="77">
        <v>492</v>
      </c>
      <c r="K54" s="78">
        <f t="shared" si="14"/>
        <v>2228760</v>
      </c>
      <c r="L54" s="77">
        <f t="shared" si="15"/>
        <v>738</v>
      </c>
      <c r="M54" s="77">
        <v>71</v>
      </c>
      <c r="N54" s="78">
        <f t="shared" si="16"/>
        <v>129860</v>
      </c>
      <c r="O54" s="77">
        <f t="shared" si="17"/>
        <v>43</v>
      </c>
      <c r="P54" s="77">
        <f t="shared" si="18"/>
        <v>3508</v>
      </c>
      <c r="Q54" s="74">
        <f t="shared" si="19"/>
        <v>0.09355</v>
      </c>
      <c r="R54" s="78">
        <f t="shared" si="20"/>
        <v>1126460</v>
      </c>
      <c r="S54" s="77">
        <f t="shared" si="21"/>
        <v>373</v>
      </c>
      <c r="T54" s="77">
        <f t="shared" si="22"/>
        <v>1683.8</v>
      </c>
      <c r="U54" s="77">
        <f t="shared" si="23"/>
        <v>5675.8</v>
      </c>
      <c r="V54" s="78">
        <f t="shared" si="24"/>
        <v>3020</v>
      </c>
      <c r="W54" s="78">
        <f t="shared" si="25"/>
        <v>17140916</v>
      </c>
      <c r="X54" s="81">
        <f>'Tables 6-8 Local Wealth'!M54</f>
        <v>1.63941229</v>
      </c>
      <c r="Y54" s="81">
        <f t="shared" si="26"/>
        <v>0.0057151</v>
      </c>
      <c r="Z54" s="81">
        <f t="shared" si="27"/>
        <v>0.00936941</v>
      </c>
      <c r="AA54" s="78">
        <f t="shared" si="50"/>
        <v>9835359.254544046</v>
      </c>
      <c r="AB54" s="82">
        <f t="shared" si="28"/>
        <v>0.5738</v>
      </c>
      <c r="AC54" s="83">
        <f t="shared" si="29"/>
        <v>7305556.745455954</v>
      </c>
      <c r="AD54" s="82">
        <f t="shared" si="30"/>
        <v>0.4262</v>
      </c>
      <c r="AE54" s="78">
        <f>'Tables 6-8 Local Wealth'!BI54</f>
        <v>14836324</v>
      </c>
      <c r="AF54" s="78">
        <f t="shared" si="31"/>
        <v>5000964.745455954</v>
      </c>
      <c r="AG54" s="86">
        <f t="shared" si="32"/>
        <v>0</v>
      </c>
      <c r="AH54" s="78">
        <f t="shared" si="33"/>
        <v>5656502</v>
      </c>
      <c r="AI54" s="78">
        <f t="shared" si="34"/>
        <v>5000964.745455954</v>
      </c>
      <c r="AJ54" s="83">
        <f t="shared" si="35"/>
        <v>81778.90612162632</v>
      </c>
      <c r="AK54" s="82">
        <f t="shared" si="36"/>
        <v>0.01635262599999998</v>
      </c>
      <c r="AL54" s="78">
        <f t="shared" si="37"/>
        <v>10719.755552625575</v>
      </c>
      <c r="AM54" s="78">
        <f t="shared" si="38"/>
        <v>5082743.651577581</v>
      </c>
      <c r="AN54" s="78">
        <f t="shared" si="39"/>
        <v>7387335.651577581</v>
      </c>
      <c r="AO54" s="78">
        <f t="shared" si="40"/>
        <v>1850.53498</v>
      </c>
      <c r="AP54" s="78">
        <v>10172779</v>
      </c>
      <c r="AQ54" s="73">
        <v>4185</v>
      </c>
      <c r="AR54" s="163">
        <f t="shared" si="41"/>
        <v>2430.77</v>
      </c>
      <c r="AS54" s="82">
        <f t="shared" si="51"/>
        <v>1.3135498795056553</v>
      </c>
      <c r="AT54" s="310">
        <f t="shared" si="42"/>
        <v>0</v>
      </c>
      <c r="AU54" s="78">
        <f t="shared" si="52"/>
        <v>-469145.16</v>
      </c>
      <c r="AV54" s="78">
        <f t="shared" si="43"/>
        <v>2316298.1997999996</v>
      </c>
      <c r="AW54" s="77">
        <f t="shared" si="53"/>
        <v>3992</v>
      </c>
      <c r="AX54" s="78">
        <f t="shared" si="44"/>
        <v>580.2350199899798</v>
      </c>
      <c r="AY54" s="78">
        <f t="shared" si="54"/>
        <v>9703633.84</v>
      </c>
      <c r="AZ54" s="78">
        <f t="shared" si="45"/>
        <v>7387335.6402</v>
      </c>
      <c r="BA54" s="78">
        <f t="shared" si="46"/>
        <v>9703633.84</v>
      </c>
      <c r="BB54" s="78">
        <f t="shared" si="55"/>
        <v>2430.77</v>
      </c>
      <c r="BC54" s="82">
        <f t="shared" si="56"/>
        <v>1.3135498795056553</v>
      </c>
      <c r="BD54" s="82">
        <f t="shared" si="47"/>
        <v>0.44</v>
      </c>
      <c r="BE54" s="78">
        <f t="shared" si="57"/>
        <v>12520025.8</v>
      </c>
      <c r="BF54" s="78">
        <f t="shared" si="58"/>
        <v>3136.28</v>
      </c>
      <c r="BG54" s="82">
        <f t="shared" si="48"/>
        <v>0.5634</v>
      </c>
      <c r="BH54" s="78">
        <f t="shared" si="49"/>
        <v>22223659.64</v>
      </c>
      <c r="BI54" s="78">
        <f t="shared" si="59"/>
        <v>5567.05</v>
      </c>
      <c r="BJ54" s="77">
        <v>4251</v>
      </c>
      <c r="BK54" s="7">
        <v>47</v>
      </c>
      <c r="BL54" s="77" t="s">
        <v>53</v>
      </c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</row>
    <row r="55" spans="1:164" s="7" customFormat="1" ht="12.75">
      <c r="A55" s="76">
        <v>48</v>
      </c>
      <c r="B55" s="77" t="s">
        <v>54</v>
      </c>
      <c r="C55" s="77">
        <v>6414</v>
      </c>
      <c r="D55" s="77">
        <v>4749</v>
      </c>
      <c r="E55" s="78">
        <f t="shared" si="10"/>
        <v>2438137</v>
      </c>
      <c r="F55" s="79">
        <f t="shared" si="11"/>
        <v>807.33</v>
      </c>
      <c r="G55" s="77">
        <v>2392</v>
      </c>
      <c r="H55" s="78">
        <f t="shared" si="12"/>
        <v>362400</v>
      </c>
      <c r="I55" s="77">
        <f t="shared" si="13"/>
        <v>120</v>
      </c>
      <c r="J55" s="77">
        <v>1318</v>
      </c>
      <c r="K55" s="78">
        <f t="shared" si="14"/>
        <v>5970540</v>
      </c>
      <c r="L55" s="77">
        <f t="shared" si="15"/>
        <v>1977</v>
      </c>
      <c r="M55" s="77">
        <v>105</v>
      </c>
      <c r="N55" s="78">
        <f t="shared" si="16"/>
        <v>190260</v>
      </c>
      <c r="O55" s="77">
        <f t="shared" si="17"/>
        <v>63</v>
      </c>
      <c r="P55" s="77">
        <f t="shared" si="18"/>
        <v>1086</v>
      </c>
      <c r="Q55" s="74">
        <f t="shared" si="19"/>
        <v>0.02896</v>
      </c>
      <c r="R55" s="78">
        <f t="shared" si="20"/>
        <v>561720</v>
      </c>
      <c r="S55" s="77">
        <f t="shared" si="21"/>
        <v>186</v>
      </c>
      <c r="T55" s="77">
        <f t="shared" si="22"/>
        <v>3153.33</v>
      </c>
      <c r="U55" s="77">
        <f t="shared" si="23"/>
        <v>9567.33</v>
      </c>
      <c r="V55" s="78">
        <f t="shared" si="24"/>
        <v>3020</v>
      </c>
      <c r="W55" s="78">
        <f t="shared" si="25"/>
        <v>28893337</v>
      </c>
      <c r="X55" s="81">
        <f>'Tables 6-8 Local Wealth'!M55</f>
        <v>1.05586249</v>
      </c>
      <c r="Y55" s="81">
        <f t="shared" si="26"/>
        <v>0.00963358</v>
      </c>
      <c r="Z55" s="81">
        <f t="shared" si="27"/>
        <v>0.01017174</v>
      </c>
      <c r="AA55" s="78">
        <f t="shared" si="50"/>
        <v>10677589.852916658</v>
      </c>
      <c r="AB55" s="82">
        <f t="shared" si="28"/>
        <v>0.3696</v>
      </c>
      <c r="AC55" s="83">
        <f t="shared" si="29"/>
        <v>18215747.147083342</v>
      </c>
      <c r="AD55" s="82">
        <f t="shared" si="30"/>
        <v>0.6304</v>
      </c>
      <c r="AE55" s="78">
        <f>'Tables 6-8 Local Wealth'!BI55</f>
        <v>18062285</v>
      </c>
      <c r="AF55" s="78">
        <f t="shared" si="31"/>
        <v>7384695.147083342</v>
      </c>
      <c r="AG55" s="86">
        <f t="shared" si="32"/>
        <v>0</v>
      </c>
      <c r="AH55" s="78">
        <f t="shared" si="33"/>
        <v>9534801</v>
      </c>
      <c r="AI55" s="78">
        <f t="shared" si="34"/>
        <v>7384695.147083342</v>
      </c>
      <c r="AJ55" s="83">
        <f t="shared" si="35"/>
        <v>2706361.583549142</v>
      </c>
      <c r="AK55" s="82">
        <f t="shared" si="36"/>
        <v>0.366482506</v>
      </c>
      <c r="AL55" s="78">
        <f t="shared" si="37"/>
        <v>787976.1811421639</v>
      </c>
      <c r="AM55" s="78">
        <f t="shared" si="38"/>
        <v>10091056.730632484</v>
      </c>
      <c r="AN55" s="78">
        <f t="shared" si="39"/>
        <v>20922108.730632484</v>
      </c>
      <c r="AO55" s="78">
        <f t="shared" si="40"/>
        <v>3261.94399</v>
      </c>
      <c r="AP55" s="78">
        <v>19690576</v>
      </c>
      <c r="AQ55" s="73">
        <v>6478</v>
      </c>
      <c r="AR55" s="163">
        <f t="shared" si="41"/>
        <v>3039.61</v>
      </c>
      <c r="AS55" s="82">
        <f t="shared" si="51"/>
        <v>0.9318400344452266</v>
      </c>
      <c r="AT55" s="310">
        <f t="shared" si="42"/>
        <v>1231532.730632484</v>
      </c>
      <c r="AU55" s="78">
        <f t="shared" si="52"/>
        <v>1231532.7519</v>
      </c>
      <c r="AV55" s="78">
        <f t="shared" si="43"/>
        <v>0</v>
      </c>
      <c r="AW55" s="77">
        <f t="shared" si="53"/>
        <v>0</v>
      </c>
      <c r="AX55" s="78">
        <f t="shared" si="44"/>
        <v>0</v>
      </c>
      <c r="AY55" s="78">
        <f t="shared" si="54"/>
        <v>19496058.54</v>
      </c>
      <c r="AZ55" s="78">
        <f t="shared" si="45"/>
        <v>20922108.7519</v>
      </c>
      <c r="BA55" s="78">
        <f t="shared" si="46"/>
        <v>20922108.7519</v>
      </c>
      <c r="BB55" s="78">
        <f t="shared" si="55"/>
        <v>3261.94</v>
      </c>
      <c r="BC55" s="82">
        <f t="shared" si="56"/>
        <v>0.9999987768030314</v>
      </c>
      <c r="BD55" s="82">
        <f t="shared" si="47"/>
        <v>0.54</v>
      </c>
      <c r="BE55" s="78">
        <f t="shared" si="57"/>
        <v>18062285</v>
      </c>
      <c r="BF55" s="78">
        <f t="shared" si="58"/>
        <v>2816.07</v>
      </c>
      <c r="BG55" s="82">
        <f t="shared" si="48"/>
        <v>0.4633</v>
      </c>
      <c r="BH55" s="78">
        <f t="shared" si="49"/>
        <v>38984393.75</v>
      </c>
      <c r="BI55" s="78">
        <f t="shared" si="59"/>
        <v>6078.02</v>
      </c>
      <c r="BJ55" s="77">
        <v>6549</v>
      </c>
      <c r="BK55" s="7">
        <v>48</v>
      </c>
      <c r="BL55" s="77" t="s">
        <v>54</v>
      </c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</row>
    <row r="56" spans="1:164" s="7" customFormat="1" ht="12.75">
      <c r="A56" s="76">
        <v>49</v>
      </c>
      <c r="B56" s="77" t="s">
        <v>55</v>
      </c>
      <c r="C56" s="77">
        <v>15746</v>
      </c>
      <c r="D56" s="77">
        <v>12276</v>
      </c>
      <c r="E56" s="78">
        <f t="shared" si="10"/>
        <v>6302498</v>
      </c>
      <c r="F56" s="79">
        <f t="shared" si="11"/>
        <v>2086.92</v>
      </c>
      <c r="G56" s="77">
        <v>5905</v>
      </c>
      <c r="H56" s="78">
        <f t="shared" si="12"/>
        <v>890900</v>
      </c>
      <c r="I56" s="77">
        <f t="shared" si="13"/>
        <v>295</v>
      </c>
      <c r="J56" s="77">
        <v>2455</v>
      </c>
      <c r="K56" s="78">
        <f t="shared" si="14"/>
        <v>11122660</v>
      </c>
      <c r="L56" s="77">
        <f t="shared" si="15"/>
        <v>3683</v>
      </c>
      <c r="M56" s="77">
        <v>239</v>
      </c>
      <c r="N56" s="78">
        <f t="shared" si="16"/>
        <v>431860</v>
      </c>
      <c r="O56" s="77">
        <f t="shared" si="17"/>
        <v>143</v>
      </c>
      <c r="P56" s="77">
        <f t="shared" si="18"/>
        <v>0</v>
      </c>
      <c r="Q56" s="74">
        <f t="shared" si="19"/>
        <v>0</v>
      </c>
      <c r="R56" s="78">
        <f t="shared" si="20"/>
        <v>0</v>
      </c>
      <c r="S56" s="77">
        <f t="shared" si="21"/>
        <v>0</v>
      </c>
      <c r="T56" s="77">
        <f t="shared" si="22"/>
        <v>6207.92</v>
      </c>
      <c r="U56" s="77">
        <f t="shared" si="23"/>
        <v>21953.92</v>
      </c>
      <c r="V56" s="78">
        <f t="shared" si="24"/>
        <v>3020</v>
      </c>
      <c r="W56" s="78">
        <f t="shared" si="25"/>
        <v>66300838</v>
      </c>
      <c r="X56" s="81">
        <f>'Tables 6-8 Local Wealth'!M56</f>
        <v>0.61930256</v>
      </c>
      <c r="Y56" s="81">
        <f t="shared" si="26"/>
        <v>0.02210594</v>
      </c>
      <c r="Z56" s="81">
        <f t="shared" si="27"/>
        <v>0.01369027</v>
      </c>
      <c r="AA56" s="78">
        <f t="shared" si="50"/>
        <v>14371099.540067807</v>
      </c>
      <c r="AB56" s="82">
        <f t="shared" si="28"/>
        <v>0.2168</v>
      </c>
      <c r="AC56" s="83">
        <f t="shared" si="29"/>
        <v>51929738.45993219</v>
      </c>
      <c r="AD56" s="82">
        <f t="shared" si="30"/>
        <v>0.7832</v>
      </c>
      <c r="AE56" s="78">
        <f>'Tables 6-8 Local Wealth'!BI56</f>
        <v>14521195</v>
      </c>
      <c r="AF56" s="78">
        <f t="shared" si="31"/>
        <v>150095.45993219316</v>
      </c>
      <c r="AG56" s="86">
        <f t="shared" si="32"/>
        <v>0</v>
      </c>
      <c r="AH56" s="78">
        <f t="shared" si="33"/>
        <v>21879277</v>
      </c>
      <c r="AI56" s="78">
        <f t="shared" si="34"/>
        <v>150095.45993219316</v>
      </c>
      <c r="AJ56" s="83">
        <f t="shared" si="35"/>
        <v>94322.75838396238</v>
      </c>
      <c r="AK56" s="82">
        <f t="shared" si="36"/>
        <v>0.6284184640000001</v>
      </c>
      <c r="AL56" s="78">
        <f t="shared" si="37"/>
        <v>13655018.887386568</v>
      </c>
      <c r="AM56" s="78">
        <f t="shared" si="38"/>
        <v>244418.21831615554</v>
      </c>
      <c r="AN56" s="78">
        <f t="shared" si="39"/>
        <v>52024061.21831615</v>
      </c>
      <c r="AO56" s="78">
        <f t="shared" si="40"/>
        <v>3303.9541</v>
      </c>
      <c r="AP56" s="78">
        <v>50912950</v>
      </c>
      <c r="AQ56" s="73">
        <v>16016</v>
      </c>
      <c r="AR56" s="163">
        <f t="shared" si="41"/>
        <v>3178.88</v>
      </c>
      <c r="AS56" s="82">
        <f t="shared" si="51"/>
        <v>0.962144116953683</v>
      </c>
      <c r="AT56" s="310">
        <f t="shared" si="42"/>
        <v>1111111.2183161527</v>
      </c>
      <c r="AU56" s="78">
        <f t="shared" si="52"/>
        <v>1111111.2586</v>
      </c>
      <c r="AV56" s="78">
        <f t="shared" si="43"/>
        <v>0</v>
      </c>
      <c r="AW56" s="77">
        <f t="shared" si="53"/>
        <v>0</v>
      </c>
      <c r="AX56" s="78">
        <f t="shared" si="44"/>
        <v>0</v>
      </c>
      <c r="AY56" s="78">
        <f t="shared" si="54"/>
        <v>50054644.480000004</v>
      </c>
      <c r="AZ56" s="78">
        <f t="shared" si="45"/>
        <v>52024061.2586</v>
      </c>
      <c r="BA56" s="78">
        <f t="shared" si="46"/>
        <v>52024061.2586</v>
      </c>
      <c r="BB56" s="78">
        <f t="shared" si="55"/>
        <v>3303.95</v>
      </c>
      <c r="BC56" s="82">
        <f t="shared" si="56"/>
        <v>0.9999987590626637</v>
      </c>
      <c r="BD56" s="82">
        <f t="shared" si="47"/>
        <v>0.78</v>
      </c>
      <c r="BE56" s="78">
        <f t="shared" si="57"/>
        <v>14521195</v>
      </c>
      <c r="BF56" s="78">
        <f t="shared" si="58"/>
        <v>922.21</v>
      </c>
      <c r="BG56" s="82">
        <f t="shared" si="48"/>
        <v>0.2182</v>
      </c>
      <c r="BH56" s="78">
        <f t="shared" si="49"/>
        <v>66545256.26</v>
      </c>
      <c r="BI56" s="78">
        <f t="shared" si="59"/>
        <v>4226.17</v>
      </c>
      <c r="BJ56" s="77">
        <v>16613</v>
      </c>
      <c r="BK56" s="7">
        <v>49</v>
      </c>
      <c r="BL56" s="77" t="s">
        <v>55</v>
      </c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</row>
    <row r="57" spans="1:164" s="124" customFormat="1" ht="12.75">
      <c r="A57" s="115">
        <v>50</v>
      </c>
      <c r="B57" s="116" t="s">
        <v>56</v>
      </c>
      <c r="C57" s="116">
        <v>8559</v>
      </c>
      <c r="D57" s="116">
        <v>5903</v>
      </c>
      <c r="E57" s="117">
        <f t="shared" si="10"/>
        <v>3030600</v>
      </c>
      <c r="F57" s="118">
        <f t="shared" si="11"/>
        <v>1003.51</v>
      </c>
      <c r="G57" s="116">
        <v>2149</v>
      </c>
      <c r="H57" s="117">
        <f t="shared" si="12"/>
        <v>323140</v>
      </c>
      <c r="I57" s="116">
        <f t="shared" si="13"/>
        <v>107</v>
      </c>
      <c r="J57" s="116">
        <v>1335</v>
      </c>
      <c r="K57" s="117">
        <f t="shared" si="14"/>
        <v>6049060</v>
      </c>
      <c r="L57" s="116">
        <f t="shared" si="15"/>
        <v>2003</v>
      </c>
      <c r="M57" s="116">
        <v>55</v>
      </c>
      <c r="N57" s="117">
        <f t="shared" si="16"/>
        <v>99660</v>
      </c>
      <c r="O57" s="116">
        <f t="shared" si="17"/>
        <v>33</v>
      </c>
      <c r="P57" s="116">
        <f t="shared" si="18"/>
        <v>0</v>
      </c>
      <c r="Q57" s="119">
        <f t="shared" si="19"/>
        <v>0</v>
      </c>
      <c r="R57" s="117">
        <f t="shared" si="20"/>
        <v>0</v>
      </c>
      <c r="S57" s="116">
        <f t="shared" si="21"/>
        <v>0</v>
      </c>
      <c r="T57" s="116">
        <f t="shared" si="22"/>
        <v>3146.51</v>
      </c>
      <c r="U57" s="116">
        <f t="shared" si="23"/>
        <v>11705.51</v>
      </c>
      <c r="V57" s="117">
        <f t="shared" si="24"/>
        <v>3020</v>
      </c>
      <c r="W57" s="117">
        <f t="shared" si="25"/>
        <v>35350640</v>
      </c>
      <c r="X57" s="121">
        <f>'Tables 6-8 Local Wealth'!M57</f>
        <v>0.59062686</v>
      </c>
      <c r="Y57" s="121">
        <f t="shared" si="26"/>
        <v>0.01178657</v>
      </c>
      <c r="Z57" s="121">
        <f t="shared" si="27"/>
        <v>0.00696146</v>
      </c>
      <c r="AA57" s="117">
        <f t="shared" si="50"/>
        <v>7307659.7177557815</v>
      </c>
      <c r="AB57" s="122">
        <f t="shared" si="28"/>
        <v>0.2067</v>
      </c>
      <c r="AC57" s="123">
        <f t="shared" si="29"/>
        <v>28042980.28224422</v>
      </c>
      <c r="AD57" s="122">
        <f t="shared" si="30"/>
        <v>0.7933</v>
      </c>
      <c r="AE57" s="117">
        <f>'Tables 6-8 Local Wealth'!BI57</f>
        <v>11662272</v>
      </c>
      <c r="AF57" s="117">
        <f t="shared" si="31"/>
        <v>4354612.2822442185</v>
      </c>
      <c r="AG57" s="179">
        <f t="shared" si="32"/>
        <v>0</v>
      </c>
      <c r="AH57" s="117">
        <f t="shared" si="33"/>
        <v>11665711</v>
      </c>
      <c r="AI57" s="117">
        <f t="shared" si="34"/>
        <v>4354612.2822442185</v>
      </c>
      <c r="AJ57" s="123">
        <f t="shared" si="35"/>
        <v>2811441.6949766167</v>
      </c>
      <c r="AK57" s="122">
        <f t="shared" si="36"/>
        <v>0.645623884</v>
      </c>
      <c r="AL57" s="117">
        <f t="shared" si="37"/>
        <v>4720219.950464908</v>
      </c>
      <c r="AM57" s="117">
        <f t="shared" si="38"/>
        <v>7166053.977220835</v>
      </c>
      <c r="AN57" s="117">
        <f t="shared" si="39"/>
        <v>30854421.977220837</v>
      </c>
      <c r="AO57" s="117">
        <f t="shared" si="40"/>
        <v>3604.90968</v>
      </c>
      <c r="AP57" s="117">
        <v>29464878</v>
      </c>
      <c r="AQ57" s="162">
        <v>8617</v>
      </c>
      <c r="AR57" s="164">
        <f t="shared" si="41"/>
        <v>3419.39</v>
      </c>
      <c r="AS57" s="122">
        <f t="shared" si="51"/>
        <v>0.9485369408755894</v>
      </c>
      <c r="AT57" s="311">
        <f t="shared" si="42"/>
        <v>1389543.977220837</v>
      </c>
      <c r="AU57" s="117">
        <f t="shared" si="52"/>
        <v>1389543.9511</v>
      </c>
      <c r="AV57" s="117">
        <f t="shared" si="43"/>
        <v>0</v>
      </c>
      <c r="AW57" s="116">
        <f t="shared" si="53"/>
        <v>0</v>
      </c>
      <c r="AX57" s="117">
        <f t="shared" si="44"/>
        <v>0</v>
      </c>
      <c r="AY57" s="117">
        <f t="shared" si="54"/>
        <v>29266559.009999998</v>
      </c>
      <c r="AZ57" s="117">
        <f t="shared" si="45"/>
        <v>30854421.9511</v>
      </c>
      <c r="BA57" s="117">
        <f t="shared" si="46"/>
        <v>30854421.9511</v>
      </c>
      <c r="BB57" s="117">
        <f t="shared" si="55"/>
        <v>3604.91</v>
      </c>
      <c r="BC57" s="122">
        <f t="shared" si="56"/>
        <v>1.0000000887678273</v>
      </c>
      <c r="BD57" s="122">
        <f t="shared" si="47"/>
        <v>0.73</v>
      </c>
      <c r="BE57" s="117">
        <f t="shared" si="57"/>
        <v>11662272</v>
      </c>
      <c r="BF57" s="117">
        <f t="shared" si="58"/>
        <v>1362.57</v>
      </c>
      <c r="BG57" s="122">
        <f t="shared" si="48"/>
        <v>0.2743</v>
      </c>
      <c r="BH57" s="117">
        <f t="shared" si="49"/>
        <v>42516693.95</v>
      </c>
      <c r="BI57" s="117">
        <f t="shared" si="59"/>
        <v>4967.48</v>
      </c>
      <c r="BJ57" s="116">
        <v>8863</v>
      </c>
      <c r="BK57" s="124">
        <v>50</v>
      </c>
      <c r="BL57" s="116" t="s">
        <v>56</v>
      </c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</row>
    <row r="58" spans="1:164" s="7" customFormat="1" ht="12.75">
      <c r="A58" s="76">
        <v>51</v>
      </c>
      <c r="B58" s="77" t="s">
        <v>57</v>
      </c>
      <c r="C58" s="77">
        <v>10840</v>
      </c>
      <c r="D58" s="77">
        <v>6551</v>
      </c>
      <c r="E58" s="78">
        <f t="shared" si="10"/>
        <v>3363283</v>
      </c>
      <c r="F58" s="79">
        <f t="shared" si="11"/>
        <v>1113.67</v>
      </c>
      <c r="G58" s="77">
        <v>2055</v>
      </c>
      <c r="H58" s="78">
        <f t="shared" si="12"/>
        <v>311060</v>
      </c>
      <c r="I58" s="77">
        <f t="shared" si="13"/>
        <v>103</v>
      </c>
      <c r="J58" s="77">
        <v>1559</v>
      </c>
      <c r="K58" s="78">
        <f t="shared" si="14"/>
        <v>7063780</v>
      </c>
      <c r="L58" s="77">
        <f t="shared" si="15"/>
        <v>2339</v>
      </c>
      <c r="M58" s="77">
        <v>188</v>
      </c>
      <c r="N58" s="78">
        <f t="shared" si="16"/>
        <v>341260</v>
      </c>
      <c r="O58" s="77">
        <f t="shared" si="17"/>
        <v>113</v>
      </c>
      <c r="P58" s="77">
        <f t="shared" si="18"/>
        <v>0</v>
      </c>
      <c r="Q58" s="74">
        <f t="shared" si="19"/>
        <v>0</v>
      </c>
      <c r="R58" s="78">
        <f t="shared" si="20"/>
        <v>0</v>
      </c>
      <c r="S58" s="77">
        <f t="shared" si="21"/>
        <v>0</v>
      </c>
      <c r="T58" s="77">
        <f t="shared" si="22"/>
        <v>3668.67</v>
      </c>
      <c r="U58" s="77">
        <f t="shared" si="23"/>
        <v>14508.67</v>
      </c>
      <c r="V58" s="78">
        <f t="shared" si="24"/>
        <v>3020</v>
      </c>
      <c r="W58" s="78">
        <f t="shared" si="25"/>
        <v>43816183</v>
      </c>
      <c r="X58" s="81">
        <f>'Tables 6-8 Local Wealth'!M58</f>
        <v>0.9465261</v>
      </c>
      <c r="Y58" s="81">
        <f t="shared" si="26"/>
        <v>0.01460914</v>
      </c>
      <c r="Z58" s="81">
        <f t="shared" si="27"/>
        <v>0.01382793</v>
      </c>
      <c r="AA58" s="78">
        <f t="shared" si="50"/>
        <v>14515605.49668413</v>
      </c>
      <c r="AB58" s="82">
        <f t="shared" si="28"/>
        <v>0.3313</v>
      </c>
      <c r="AC58" s="83">
        <f t="shared" si="29"/>
        <v>29300577.50331587</v>
      </c>
      <c r="AD58" s="82">
        <f t="shared" si="30"/>
        <v>0.6687</v>
      </c>
      <c r="AE58" s="78">
        <f>'Tables 6-8 Local Wealth'!BI58</f>
        <v>21749408</v>
      </c>
      <c r="AF58" s="78">
        <f t="shared" si="31"/>
        <v>7233802.50331587</v>
      </c>
      <c r="AG58" s="86">
        <f t="shared" si="32"/>
        <v>0</v>
      </c>
      <c r="AH58" s="78">
        <f t="shared" si="33"/>
        <v>14459340</v>
      </c>
      <c r="AI58" s="78">
        <f t="shared" si="34"/>
        <v>7233802.50331587</v>
      </c>
      <c r="AJ58" s="83">
        <f t="shared" si="35"/>
        <v>3125612.780335585</v>
      </c>
      <c r="AK58" s="82">
        <f t="shared" si="36"/>
        <v>0.43208433999999996</v>
      </c>
      <c r="AL58" s="78">
        <f t="shared" si="37"/>
        <v>3122041.6004000143</v>
      </c>
      <c r="AM58" s="78">
        <f t="shared" si="38"/>
        <v>10359415.283651454</v>
      </c>
      <c r="AN58" s="78">
        <f t="shared" si="39"/>
        <v>32426190.283651456</v>
      </c>
      <c r="AO58" s="78">
        <f t="shared" si="40"/>
        <v>2991.34597</v>
      </c>
      <c r="AP58" s="78">
        <v>31518652</v>
      </c>
      <c r="AQ58" s="73">
        <v>11083</v>
      </c>
      <c r="AR58" s="163">
        <f t="shared" si="41"/>
        <v>2843.87</v>
      </c>
      <c r="AS58" s="82">
        <f t="shared" si="51"/>
        <v>0.9506991262531896</v>
      </c>
      <c r="AT58" s="310">
        <f t="shared" si="42"/>
        <v>907538.2836514562</v>
      </c>
      <c r="AU58" s="78">
        <f t="shared" si="52"/>
        <v>907538.3148</v>
      </c>
      <c r="AV58" s="78">
        <f t="shared" si="43"/>
        <v>0</v>
      </c>
      <c r="AW58" s="77">
        <f t="shared" si="53"/>
        <v>0</v>
      </c>
      <c r="AX58" s="78">
        <f t="shared" si="44"/>
        <v>0</v>
      </c>
      <c r="AY58" s="78">
        <f t="shared" si="54"/>
        <v>30827550.799999997</v>
      </c>
      <c r="AZ58" s="78">
        <f t="shared" si="45"/>
        <v>32426190.3148</v>
      </c>
      <c r="BA58" s="78">
        <f t="shared" si="46"/>
        <v>32426190.3148</v>
      </c>
      <c r="BB58" s="78">
        <f t="shared" si="55"/>
        <v>2991.35</v>
      </c>
      <c r="BC58" s="82">
        <f t="shared" si="56"/>
        <v>1.0000013472196263</v>
      </c>
      <c r="BD58" s="82">
        <f t="shared" si="47"/>
        <v>0.6</v>
      </c>
      <c r="BE58" s="78">
        <f t="shared" si="57"/>
        <v>21749408</v>
      </c>
      <c r="BF58" s="78">
        <f t="shared" si="58"/>
        <v>2006.4</v>
      </c>
      <c r="BG58" s="82">
        <f t="shared" si="48"/>
        <v>0.4015</v>
      </c>
      <c r="BH58" s="78">
        <f t="shared" si="49"/>
        <v>54175598.31</v>
      </c>
      <c r="BI58" s="78">
        <f t="shared" si="59"/>
        <v>4997.75</v>
      </c>
      <c r="BJ58" s="77">
        <v>11345</v>
      </c>
      <c r="BK58" s="7">
        <v>51</v>
      </c>
      <c r="BL58" s="77" t="s">
        <v>57</v>
      </c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</row>
    <row r="59" spans="1:164" s="7" customFormat="1" ht="12.75">
      <c r="A59" s="76">
        <v>52</v>
      </c>
      <c r="B59" s="77" t="s">
        <v>58</v>
      </c>
      <c r="C59" s="77">
        <v>32312</v>
      </c>
      <c r="D59" s="77">
        <v>9060</v>
      </c>
      <c r="E59" s="78">
        <f t="shared" si="10"/>
        <v>4651404</v>
      </c>
      <c r="F59" s="79">
        <f t="shared" si="11"/>
        <v>1540.2</v>
      </c>
      <c r="G59" s="77">
        <v>6337</v>
      </c>
      <c r="H59" s="78">
        <f t="shared" si="12"/>
        <v>957340</v>
      </c>
      <c r="I59" s="77">
        <f t="shared" si="13"/>
        <v>317</v>
      </c>
      <c r="J59" s="77">
        <v>4866</v>
      </c>
      <c r="K59" s="78">
        <f t="shared" si="14"/>
        <v>22042980</v>
      </c>
      <c r="L59" s="77">
        <f t="shared" si="15"/>
        <v>7299</v>
      </c>
      <c r="M59" s="77">
        <v>2799</v>
      </c>
      <c r="N59" s="78">
        <f t="shared" si="16"/>
        <v>5070580</v>
      </c>
      <c r="O59" s="77">
        <f t="shared" si="17"/>
        <v>1679</v>
      </c>
      <c r="P59" s="77">
        <f t="shared" si="18"/>
        <v>0</v>
      </c>
      <c r="Q59" s="74">
        <f t="shared" si="19"/>
        <v>0</v>
      </c>
      <c r="R59" s="78">
        <f t="shared" si="20"/>
        <v>0</v>
      </c>
      <c r="S59" s="77">
        <f t="shared" si="21"/>
        <v>0</v>
      </c>
      <c r="T59" s="77">
        <f t="shared" si="22"/>
        <v>10835.2</v>
      </c>
      <c r="U59" s="77">
        <f t="shared" si="23"/>
        <v>43147.2</v>
      </c>
      <c r="V59" s="78">
        <f t="shared" si="24"/>
        <v>3020</v>
      </c>
      <c r="W59" s="78">
        <f t="shared" si="25"/>
        <v>130304544</v>
      </c>
      <c r="X59" s="81">
        <f>'Tables 6-8 Local Wealth'!M59</f>
        <v>0.83392045</v>
      </c>
      <c r="Y59" s="81">
        <f t="shared" si="26"/>
        <v>0.04344598</v>
      </c>
      <c r="Z59" s="81">
        <f t="shared" si="27"/>
        <v>0.03623049</v>
      </c>
      <c r="AA59" s="78">
        <f t="shared" si="50"/>
        <v>38032265.11788528</v>
      </c>
      <c r="AB59" s="82">
        <f t="shared" si="28"/>
        <v>0.2919</v>
      </c>
      <c r="AC59" s="83">
        <f t="shared" si="29"/>
        <v>92272278.88211472</v>
      </c>
      <c r="AD59" s="82">
        <f t="shared" si="30"/>
        <v>0.7081</v>
      </c>
      <c r="AE59" s="78">
        <f>'Tables 6-8 Local Wealth'!BI59</f>
        <v>81935466</v>
      </c>
      <c r="AF59" s="78">
        <f t="shared" si="31"/>
        <v>43903200.88211472</v>
      </c>
      <c r="AG59" s="86">
        <f t="shared" si="32"/>
        <v>0</v>
      </c>
      <c r="AH59" s="78">
        <f t="shared" si="33"/>
        <v>43000500</v>
      </c>
      <c r="AI59" s="78">
        <f t="shared" si="34"/>
        <v>43000500</v>
      </c>
      <c r="AJ59" s="83">
        <f t="shared" si="35"/>
        <v>21485102.213864997</v>
      </c>
      <c r="AK59" s="82">
        <f t="shared" si="36"/>
        <v>0.49964772999999996</v>
      </c>
      <c r="AL59" s="78">
        <f t="shared" si="37"/>
        <v>0</v>
      </c>
      <c r="AM59" s="78">
        <f t="shared" si="38"/>
        <v>64485602.213865</v>
      </c>
      <c r="AN59" s="78">
        <f t="shared" si="39"/>
        <v>113757381.09597972</v>
      </c>
      <c r="AO59" s="78">
        <f t="shared" si="40"/>
        <v>3520.59238</v>
      </c>
      <c r="AP59" s="78">
        <v>107927010</v>
      </c>
      <c r="AQ59" s="73">
        <v>32338</v>
      </c>
      <c r="AR59" s="163">
        <f t="shared" si="41"/>
        <v>3337.47</v>
      </c>
      <c r="AS59" s="82">
        <f t="shared" si="51"/>
        <v>0.947985350124515</v>
      </c>
      <c r="AT59" s="310">
        <f t="shared" si="42"/>
        <v>5830371.09597972</v>
      </c>
      <c r="AU59" s="78">
        <f t="shared" si="52"/>
        <v>5830370.9826</v>
      </c>
      <c r="AV59" s="78">
        <f t="shared" si="43"/>
        <v>0</v>
      </c>
      <c r="AW59" s="77">
        <f t="shared" si="53"/>
        <v>0</v>
      </c>
      <c r="AX59" s="78">
        <f t="shared" si="44"/>
        <v>0</v>
      </c>
      <c r="AY59" s="78">
        <f t="shared" si="54"/>
        <v>107840330.64</v>
      </c>
      <c r="AZ59" s="78">
        <f t="shared" si="45"/>
        <v>113757380.9826</v>
      </c>
      <c r="BA59" s="78">
        <f t="shared" si="46"/>
        <v>113757380.9826</v>
      </c>
      <c r="BB59" s="78">
        <f t="shared" si="55"/>
        <v>3520.59</v>
      </c>
      <c r="BC59" s="82">
        <f t="shared" si="56"/>
        <v>0.9999993239774041</v>
      </c>
      <c r="BD59" s="82">
        <f t="shared" si="47"/>
        <v>0.58</v>
      </c>
      <c r="BE59" s="78">
        <f t="shared" si="57"/>
        <v>81032765.12</v>
      </c>
      <c r="BF59" s="78">
        <f t="shared" si="58"/>
        <v>2507.82</v>
      </c>
      <c r="BG59" s="82">
        <f t="shared" si="48"/>
        <v>0.416</v>
      </c>
      <c r="BH59" s="78">
        <f t="shared" si="49"/>
        <v>194790146.1</v>
      </c>
      <c r="BI59" s="78">
        <f t="shared" si="59"/>
        <v>6028.42</v>
      </c>
      <c r="BJ59" s="77">
        <v>32355</v>
      </c>
      <c r="BK59" s="7">
        <v>52</v>
      </c>
      <c r="BL59" s="77" t="s">
        <v>58</v>
      </c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</row>
    <row r="60" spans="1:164" s="7" customFormat="1" ht="12.75">
      <c r="A60" s="76">
        <v>53</v>
      </c>
      <c r="B60" s="77" t="s">
        <v>59</v>
      </c>
      <c r="C60" s="77">
        <v>18557</v>
      </c>
      <c r="D60" s="77">
        <v>11507</v>
      </c>
      <c r="E60" s="78">
        <f t="shared" si="10"/>
        <v>5907694</v>
      </c>
      <c r="F60" s="79">
        <f t="shared" si="11"/>
        <v>1956.19</v>
      </c>
      <c r="G60" s="77">
        <v>4416</v>
      </c>
      <c r="H60" s="78">
        <f t="shared" si="12"/>
        <v>667420</v>
      </c>
      <c r="I60" s="77">
        <f t="shared" si="13"/>
        <v>221</v>
      </c>
      <c r="J60" s="77">
        <v>2661</v>
      </c>
      <c r="K60" s="78">
        <f t="shared" si="14"/>
        <v>12055840</v>
      </c>
      <c r="L60" s="77">
        <f t="shared" si="15"/>
        <v>3992</v>
      </c>
      <c r="M60" s="77">
        <v>201</v>
      </c>
      <c r="N60" s="78">
        <f t="shared" si="16"/>
        <v>365420</v>
      </c>
      <c r="O60" s="77">
        <f t="shared" si="17"/>
        <v>121</v>
      </c>
      <c r="P60" s="77">
        <f t="shared" si="18"/>
        <v>0</v>
      </c>
      <c r="Q60" s="74">
        <f t="shared" si="19"/>
        <v>0</v>
      </c>
      <c r="R60" s="78">
        <f t="shared" si="20"/>
        <v>0</v>
      </c>
      <c r="S60" s="77">
        <f t="shared" si="21"/>
        <v>0</v>
      </c>
      <c r="T60" s="77">
        <f t="shared" si="22"/>
        <v>6290.1900000000005</v>
      </c>
      <c r="U60" s="77">
        <f t="shared" si="23"/>
        <v>24847.190000000002</v>
      </c>
      <c r="V60" s="78">
        <f t="shared" si="24"/>
        <v>3020</v>
      </c>
      <c r="W60" s="78">
        <f t="shared" si="25"/>
        <v>75038514</v>
      </c>
      <c r="X60" s="81">
        <f>'Tables 6-8 Local Wealth'!M60</f>
        <v>0.6140312</v>
      </c>
      <c r="Y60" s="81">
        <f t="shared" si="26"/>
        <v>0.02501925</v>
      </c>
      <c r="Z60" s="81">
        <f t="shared" si="27"/>
        <v>0.0153626</v>
      </c>
      <c r="AA60" s="78">
        <f t="shared" si="50"/>
        <v>16126596.02726942</v>
      </c>
      <c r="AB60" s="82">
        <f t="shared" si="28"/>
        <v>0.2149</v>
      </c>
      <c r="AC60" s="83">
        <f t="shared" si="29"/>
        <v>58911917.97273058</v>
      </c>
      <c r="AD60" s="82">
        <f t="shared" si="30"/>
        <v>0.7851</v>
      </c>
      <c r="AE60" s="78">
        <f>'Tables 6-8 Local Wealth'!BI60</f>
        <v>23287159</v>
      </c>
      <c r="AF60" s="78">
        <f t="shared" si="31"/>
        <v>7160562.972730581</v>
      </c>
      <c r="AG60" s="86">
        <f t="shared" si="32"/>
        <v>0</v>
      </c>
      <c r="AH60" s="78">
        <f t="shared" si="33"/>
        <v>24762710</v>
      </c>
      <c r="AI60" s="78">
        <f t="shared" si="34"/>
        <v>7160562.972730581</v>
      </c>
      <c r="AJ60" s="83">
        <f t="shared" si="35"/>
        <v>4522477.527837786</v>
      </c>
      <c r="AK60" s="82">
        <f t="shared" si="36"/>
        <v>0.6315812800000001</v>
      </c>
      <c r="AL60" s="78">
        <f t="shared" si="37"/>
        <v>11117186.550231013</v>
      </c>
      <c r="AM60" s="78">
        <f t="shared" si="38"/>
        <v>11683040.500568368</v>
      </c>
      <c r="AN60" s="78">
        <f t="shared" si="39"/>
        <v>63434395.50056836</v>
      </c>
      <c r="AO60" s="78">
        <f t="shared" si="40"/>
        <v>3418.35402</v>
      </c>
      <c r="AP60" s="78">
        <v>60633681</v>
      </c>
      <c r="AQ60" s="73">
        <v>18649</v>
      </c>
      <c r="AR60" s="163">
        <f t="shared" si="41"/>
        <v>3251.31</v>
      </c>
      <c r="AS60" s="82">
        <f t="shared" si="51"/>
        <v>0.9511332006507622</v>
      </c>
      <c r="AT60" s="310">
        <f t="shared" si="42"/>
        <v>2800714.50056836</v>
      </c>
      <c r="AU60" s="78">
        <f t="shared" si="52"/>
        <v>2800714.5491</v>
      </c>
      <c r="AV60" s="78">
        <f t="shared" si="43"/>
        <v>0</v>
      </c>
      <c r="AW60" s="77">
        <f t="shared" si="53"/>
        <v>0</v>
      </c>
      <c r="AX60" s="78">
        <f t="shared" si="44"/>
        <v>0</v>
      </c>
      <c r="AY60" s="78">
        <f t="shared" si="54"/>
        <v>60334559.67</v>
      </c>
      <c r="AZ60" s="78">
        <f t="shared" si="45"/>
        <v>63434395.5491</v>
      </c>
      <c r="BA60" s="78">
        <f t="shared" si="46"/>
        <v>63434395.5491</v>
      </c>
      <c r="BB60" s="78">
        <f t="shared" si="55"/>
        <v>3418.35</v>
      </c>
      <c r="BC60" s="82">
        <f t="shared" si="56"/>
        <v>0.9999988239954151</v>
      </c>
      <c r="BD60" s="82">
        <f t="shared" si="47"/>
        <v>0.73</v>
      </c>
      <c r="BE60" s="78">
        <f t="shared" si="57"/>
        <v>23287159</v>
      </c>
      <c r="BF60" s="78">
        <f t="shared" si="58"/>
        <v>1254.9</v>
      </c>
      <c r="BG60" s="82">
        <f t="shared" si="48"/>
        <v>0.2685</v>
      </c>
      <c r="BH60" s="78">
        <f t="shared" si="49"/>
        <v>86721554.55</v>
      </c>
      <c r="BI60" s="78">
        <f t="shared" si="59"/>
        <v>4673.25</v>
      </c>
      <c r="BJ60" s="77">
        <v>18615</v>
      </c>
      <c r="BK60" s="7">
        <v>53</v>
      </c>
      <c r="BL60" s="77" t="s">
        <v>59</v>
      </c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</row>
    <row r="61" spans="1:164" s="7" customFormat="1" ht="12.75">
      <c r="A61" s="76">
        <v>54</v>
      </c>
      <c r="B61" s="77" t="s">
        <v>60</v>
      </c>
      <c r="C61" s="77">
        <v>1153</v>
      </c>
      <c r="D61" s="77">
        <v>984</v>
      </c>
      <c r="E61" s="78">
        <f t="shared" si="10"/>
        <v>505186</v>
      </c>
      <c r="F61" s="79">
        <f t="shared" si="11"/>
        <v>167.28</v>
      </c>
      <c r="G61" s="77">
        <v>536</v>
      </c>
      <c r="H61" s="78">
        <f t="shared" si="12"/>
        <v>81540</v>
      </c>
      <c r="I61" s="77">
        <f t="shared" si="13"/>
        <v>27</v>
      </c>
      <c r="J61" s="77">
        <v>233</v>
      </c>
      <c r="K61" s="78">
        <f t="shared" si="14"/>
        <v>1057000</v>
      </c>
      <c r="L61" s="77">
        <f t="shared" si="15"/>
        <v>350</v>
      </c>
      <c r="M61" s="77">
        <v>76</v>
      </c>
      <c r="N61" s="78">
        <f t="shared" si="16"/>
        <v>138920</v>
      </c>
      <c r="O61" s="77">
        <f t="shared" si="17"/>
        <v>46</v>
      </c>
      <c r="P61" s="77">
        <f t="shared" si="18"/>
        <v>6347</v>
      </c>
      <c r="Q61" s="74">
        <f t="shared" si="19"/>
        <v>0.16925</v>
      </c>
      <c r="R61" s="78">
        <f t="shared" si="20"/>
        <v>588900</v>
      </c>
      <c r="S61" s="77">
        <f t="shared" si="21"/>
        <v>195</v>
      </c>
      <c r="T61" s="77">
        <f t="shared" si="22"/>
        <v>785.28</v>
      </c>
      <c r="U61" s="77">
        <f t="shared" si="23"/>
        <v>1938.28</v>
      </c>
      <c r="V61" s="78">
        <f t="shared" si="24"/>
        <v>3020</v>
      </c>
      <c r="W61" s="78">
        <f t="shared" si="25"/>
        <v>5853606</v>
      </c>
      <c r="X61" s="81">
        <f>'Tables 6-8 Local Wealth'!M61</f>
        <v>0.66738472</v>
      </c>
      <c r="Y61" s="81">
        <f t="shared" si="26"/>
        <v>0.0019517</v>
      </c>
      <c r="Z61" s="81">
        <f t="shared" si="27"/>
        <v>0.00130253</v>
      </c>
      <c r="AA61" s="78">
        <f t="shared" si="50"/>
        <v>1367305.997903951</v>
      </c>
      <c r="AB61" s="82">
        <f t="shared" si="28"/>
        <v>0.2336</v>
      </c>
      <c r="AC61" s="83">
        <f t="shared" si="29"/>
        <v>4486300.0020960495</v>
      </c>
      <c r="AD61" s="82">
        <f t="shared" si="30"/>
        <v>0.7664</v>
      </c>
      <c r="AE61" s="78">
        <f>'Tables 6-8 Local Wealth'!BI61</f>
        <v>1104651</v>
      </c>
      <c r="AF61" s="78">
        <f t="shared" si="31"/>
        <v>0</v>
      </c>
      <c r="AG61" s="86">
        <f t="shared" si="32"/>
        <v>-262654.997903951</v>
      </c>
      <c r="AH61" s="78">
        <f t="shared" si="33"/>
        <v>1931690</v>
      </c>
      <c r="AI61" s="78">
        <f t="shared" si="34"/>
        <v>0</v>
      </c>
      <c r="AJ61" s="83">
        <f t="shared" si="35"/>
        <v>0</v>
      </c>
      <c r="AK61" s="82">
        <f t="shared" si="36"/>
        <v>0</v>
      </c>
      <c r="AL61" s="78">
        <f t="shared" si="37"/>
        <v>1158181.7661339198</v>
      </c>
      <c r="AM61" s="78">
        <f t="shared" si="38"/>
        <v>0</v>
      </c>
      <c r="AN61" s="78">
        <f t="shared" si="39"/>
        <v>4486300.0020960495</v>
      </c>
      <c r="AO61" s="78">
        <f t="shared" si="40"/>
        <v>3890.98005</v>
      </c>
      <c r="AP61" s="78">
        <v>4569513</v>
      </c>
      <c r="AQ61" s="73">
        <v>1215</v>
      </c>
      <c r="AR61" s="163">
        <f t="shared" si="41"/>
        <v>3760.92</v>
      </c>
      <c r="AS61" s="82">
        <f t="shared" si="51"/>
        <v>0.9665739612311813</v>
      </c>
      <c r="AT61" s="310">
        <f t="shared" si="42"/>
        <v>0</v>
      </c>
      <c r="AU61" s="78">
        <f t="shared" si="52"/>
        <v>-83213.0023</v>
      </c>
      <c r="AV61" s="78">
        <f t="shared" si="43"/>
        <v>0</v>
      </c>
      <c r="AW61" s="77">
        <f t="shared" si="53"/>
        <v>0</v>
      </c>
      <c r="AX61" s="78">
        <f t="shared" si="44"/>
        <v>0</v>
      </c>
      <c r="AY61" s="78">
        <f t="shared" si="54"/>
        <v>4336340.76</v>
      </c>
      <c r="AZ61" s="78">
        <f t="shared" si="45"/>
        <v>4486299.9977</v>
      </c>
      <c r="BA61" s="78">
        <f t="shared" si="46"/>
        <v>4486299.9977</v>
      </c>
      <c r="BB61" s="78">
        <f t="shared" si="55"/>
        <v>3890.98</v>
      </c>
      <c r="BC61" s="82">
        <f t="shared" si="56"/>
        <v>0.999999987149767</v>
      </c>
      <c r="BD61" s="82">
        <f t="shared" si="47"/>
        <v>0.77</v>
      </c>
      <c r="BE61" s="78">
        <f t="shared" si="57"/>
        <v>1367306</v>
      </c>
      <c r="BF61" s="78">
        <f t="shared" si="58"/>
        <v>1185.87</v>
      </c>
      <c r="BG61" s="82">
        <f t="shared" si="48"/>
        <v>0.2336</v>
      </c>
      <c r="BH61" s="78">
        <f t="shared" si="49"/>
        <v>5853606</v>
      </c>
      <c r="BI61" s="78">
        <f t="shared" si="59"/>
        <v>5076.85</v>
      </c>
      <c r="BJ61" s="77">
        <v>1267</v>
      </c>
      <c r="BK61" s="7">
        <v>54</v>
      </c>
      <c r="BL61" s="77" t="s">
        <v>60</v>
      </c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</row>
    <row r="62" spans="1:164" s="124" customFormat="1" ht="12.75">
      <c r="A62" s="115">
        <v>55</v>
      </c>
      <c r="B62" s="116" t="s">
        <v>61</v>
      </c>
      <c r="C62" s="116">
        <v>19959</v>
      </c>
      <c r="D62" s="116">
        <v>12452</v>
      </c>
      <c r="E62" s="117">
        <f t="shared" si="10"/>
        <v>6392857</v>
      </c>
      <c r="F62" s="118">
        <f t="shared" si="11"/>
        <v>2116.84</v>
      </c>
      <c r="G62" s="116">
        <v>7309</v>
      </c>
      <c r="H62" s="117">
        <f t="shared" si="12"/>
        <v>1102300</v>
      </c>
      <c r="I62" s="116">
        <f t="shared" si="13"/>
        <v>365</v>
      </c>
      <c r="J62" s="116">
        <v>3198</v>
      </c>
      <c r="K62" s="117">
        <f t="shared" si="14"/>
        <v>14486940</v>
      </c>
      <c r="L62" s="116">
        <f t="shared" si="15"/>
        <v>4797</v>
      </c>
      <c r="M62" s="116">
        <v>567</v>
      </c>
      <c r="N62" s="117">
        <f t="shared" si="16"/>
        <v>1026800</v>
      </c>
      <c r="O62" s="116">
        <f t="shared" si="17"/>
        <v>340</v>
      </c>
      <c r="P62" s="116">
        <f t="shared" si="18"/>
        <v>0</v>
      </c>
      <c r="Q62" s="119">
        <f t="shared" si="19"/>
        <v>0</v>
      </c>
      <c r="R62" s="117">
        <f t="shared" si="20"/>
        <v>0</v>
      </c>
      <c r="S62" s="116">
        <f t="shared" si="21"/>
        <v>0</v>
      </c>
      <c r="T62" s="116">
        <f t="shared" si="22"/>
        <v>7618.84</v>
      </c>
      <c r="U62" s="116">
        <f t="shared" si="23"/>
        <v>27577.84</v>
      </c>
      <c r="V62" s="117">
        <f t="shared" si="24"/>
        <v>3020</v>
      </c>
      <c r="W62" s="117">
        <f t="shared" si="25"/>
        <v>83285077</v>
      </c>
      <c r="X62" s="121">
        <f>'Tables 6-8 Local Wealth'!M62</f>
        <v>0.87568585</v>
      </c>
      <c r="Y62" s="121">
        <f t="shared" si="26"/>
        <v>0.02776881</v>
      </c>
      <c r="Z62" s="121">
        <f t="shared" si="27"/>
        <v>0.02431675</v>
      </c>
      <c r="AA62" s="117">
        <f t="shared" si="50"/>
        <v>25526044.025497224</v>
      </c>
      <c r="AB62" s="122">
        <f t="shared" si="28"/>
        <v>0.3065</v>
      </c>
      <c r="AC62" s="123">
        <f t="shared" si="29"/>
        <v>57759032.97450277</v>
      </c>
      <c r="AD62" s="122">
        <f t="shared" si="30"/>
        <v>0.6935</v>
      </c>
      <c r="AE62" s="117">
        <f>'Tables 6-8 Local Wealth'!BI62</f>
        <v>36002750</v>
      </c>
      <c r="AF62" s="117">
        <f t="shared" si="31"/>
        <v>10476705.974502776</v>
      </c>
      <c r="AG62" s="179">
        <f t="shared" si="32"/>
        <v>0</v>
      </c>
      <c r="AH62" s="117">
        <f t="shared" si="33"/>
        <v>27484075</v>
      </c>
      <c r="AI62" s="117">
        <f t="shared" si="34"/>
        <v>10476705.974502776</v>
      </c>
      <c r="AJ62" s="123">
        <f t="shared" si="35"/>
        <v>4972124.068613251</v>
      </c>
      <c r="AK62" s="122">
        <f t="shared" si="36"/>
        <v>0.47458849</v>
      </c>
      <c r="AL62" s="117">
        <f t="shared" si="37"/>
        <v>8071501.584683499</v>
      </c>
      <c r="AM62" s="117">
        <f t="shared" si="38"/>
        <v>15448830.043116026</v>
      </c>
      <c r="AN62" s="117">
        <f t="shared" si="39"/>
        <v>62731157.043116026</v>
      </c>
      <c r="AO62" s="117">
        <f t="shared" si="40"/>
        <v>3143.001</v>
      </c>
      <c r="AP62" s="117">
        <v>59070294</v>
      </c>
      <c r="AQ62" s="162">
        <v>20360</v>
      </c>
      <c r="AR62" s="164">
        <f t="shared" si="41"/>
        <v>2901.29</v>
      </c>
      <c r="AS62" s="122">
        <f t="shared" si="51"/>
        <v>0.9230954746753182</v>
      </c>
      <c r="AT62" s="311">
        <f t="shared" si="42"/>
        <v>3660863.0431160256</v>
      </c>
      <c r="AU62" s="117">
        <f t="shared" si="52"/>
        <v>3660862.959</v>
      </c>
      <c r="AV62" s="117">
        <f t="shared" si="43"/>
        <v>0</v>
      </c>
      <c r="AW62" s="116">
        <f t="shared" si="53"/>
        <v>0</v>
      </c>
      <c r="AX62" s="117">
        <f t="shared" si="44"/>
        <v>0</v>
      </c>
      <c r="AY62" s="117">
        <f t="shared" si="54"/>
        <v>57906847.11</v>
      </c>
      <c r="AZ62" s="117">
        <f t="shared" si="45"/>
        <v>62731156.959</v>
      </c>
      <c r="BA62" s="117">
        <f t="shared" si="46"/>
        <v>62731156.959</v>
      </c>
      <c r="BB62" s="117">
        <f t="shared" si="55"/>
        <v>3143</v>
      </c>
      <c r="BC62" s="122">
        <f t="shared" si="56"/>
        <v>0.9999996818327451</v>
      </c>
      <c r="BD62" s="122">
        <f t="shared" si="47"/>
        <v>0.64</v>
      </c>
      <c r="BE62" s="117">
        <f t="shared" si="57"/>
        <v>36002750</v>
      </c>
      <c r="BF62" s="117">
        <f t="shared" si="58"/>
        <v>1803.84</v>
      </c>
      <c r="BG62" s="122">
        <f t="shared" si="48"/>
        <v>0.3646</v>
      </c>
      <c r="BH62" s="117">
        <f t="shared" si="49"/>
        <v>98733906.96</v>
      </c>
      <c r="BI62" s="117">
        <f t="shared" si="59"/>
        <v>4946.84</v>
      </c>
      <c r="BJ62" s="116">
        <v>20534</v>
      </c>
      <c r="BK62" s="124">
        <v>55</v>
      </c>
      <c r="BL62" s="116" t="s">
        <v>61</v>
      </c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</row>
    <row r="63" spans="1:164" s="7" customFormat="1" ht="12.75">
      <c r="A63" s="76">
        <v>56</v>
      </c>
      <c r="B63" s="77" t="s">
        <v>62</v>
      </c>
      <c r="C63" s="77">
        <v>3695</v>
      </c>
      <c r="D63" s="77">
        <v>2288</v>
      </c>
      <c r="E63" s="78">
        <f t="shared" si="10"/>
        <v>1174659</v>
      </c>
      <c r="F63" s="79">
        <f t="shared" si="11"/>
        <v>388.96</v>
      </c>
      <c r="G63" s="77">
        <v>1391</v>
      </c>
      <c r="H63" s="78">
        <f t="shared" si="12"/>
        <v>211400</v>
      </c>
      <c r="I63" s="77">
        <f t="shared" si="13"/>
        <v>70</v>
      </c>
      <c r="J63" s="77">
        <v>356</v>
      </c>
      <c r="K63" s="78">
        <f t="shared" si="14"/>
        <v>1612680</v>
      </c>
      <c r="L63" s="77">
        <f t="shared" si="15"/>
        <v>534</v>
      </c>
      <c r="M63" s="77">
        <v>29</v>
      </c>
      <c r="N63" s="78">
        <f t="shared" si="16"/>
        <v>51340</v>
      </c>
      <c r="O63" s="77">
        <f t="shared" si="17"/>
        <v>17</v>
      </c>
      <c r="P63" s="77">
        <f t="shared" si="18"/>
        <v>3805</v>
      </c>
      <c r="Q63" s="74">
        <f t="shared" si="19"/>
        <v>0.10147</v>
      </c>
      <c r="R63" s="78">
        <f t="shared" si="20"/>
        <v>1132500</v>
      </c>
      <c r="S63" s="77">
        <f t="shared" si="21"/>
        <v>375</v>
      </c>
      <c r="T63" s="77">
        <f t="shared" si="22"/>
        <v>1384.96</v>
      </c>
      <c r="U63" s="77">
        <f t="shared" si="23"/>
        <v>5079.96</v>
      </c>
      <c r="V63" s="78">
        <f t="shared" si="24"/>
        <v>3020</v>
      </c>
      <c r="W63" s="78">
        <f t="shared" si="25"/>
        <v>15341479</v>
      </c>
      <c r="X63" s="81">
        <f>'Tables 6-8 Local Wealth'!M63</f>
        <v>0.6729602</v>
      </c>
      <c r="Y63" s="81">
        <f t="shared" si="26"/>
        <v>0.00511514</v>
      </c>
      <c r="Z63" s="81">
        <f t="shared" si="27"/>
        <v>0.00344229</v>
      </c>
      <c r="AA63" s="78">
        <f t="shared" si="50"/>
        <v>3613478.2028243425</v>
      </c>
      <c r="AB63" s="82">
        <f t="shared" si="28"/>
        <v>0.2355</v>
      </c>
      <c r="AC63" s="83">
        <f t="shared" si="29"/>
        <v>11728000.797175657</v>
      </c>
      <c r="AD63" s="82">
        <f t="shared" si="30"/>
        <v>0.7645</v>
      </c>
      <c r="AE63" s="78">
        <f>'Tables 6-8 Local Wealth'!BI63</f>
        <v>2744701</v>
      </c>
      <c r="AF63" s="78">
        <f t="shared" si="31"/>
        <v>0</v>
      </c>
      <c r="AG63" s="86">
        <f t="shared" si="32"/>
        <v>-868777.2028243425</v>
      </c>
      <c r="AH63" s="78">
        <f t="shared" si="33"/>
        <v>5062688</v>
      </c>
      <c r="AI63" s="78">
        <f t="shared" si="34"/>
        <v>0</v>
      </c>
      <c r="AJ63" s="83">
        <f t="shared" si="35"/>
        <v>0</v>
      </c>
      <c r="AK63" s="82">
        <f t="shared" si="36"/>
        <v>0</v>
      </c>
      <c r="AL63" s="78">
        <f t="shared" si="37"/>
        <v>3018495.4825894395</v>
      </c>
      <c r="AM63" s="78">
        <f t="shared" si="38"/>
        <v>0</v>
      </c>
      <c r="AN63" s="78">
        <f t="shared" si="39"/>
        <v>11728000.797175657</v>
      </c>
      <c r="AO63" s="78">
        <f t="shared" si="40"/>
        <v>3174.01916</v>
      </c>
      <c r="AP63" s="78">
        <v>11240410</v>
      </c>
      <c r="AQ63" s="73">
        <v>3697</v>
      </c>
      <c r="AR63" s="163">
        <f t="shared" si="41"/>
        <v>3040.41</v>
      </c>
      <c r="AS63" s="82">
        <f t="shared" si="51"/>
        <v>0.9579053706783547</v>
      </c>
      <c r="AT63" s="310">
        <f t="shared" si="42"/>
        <v>487590.797175657</v>
      </c>
      <c r="AU63" s="78">
        <f t="shared" si="52"/>
        <v>487590.7962</v>
      </c>
      <c r="AV63" s="78">
        <f t="shared" si="43"/>
        <v>0</v>
      </c>
      <c r="AW63" s="77">
        <f t="shared" si="53"/>
        <v>0</v>
      </c>
      <c r="AX63" s="78">
        <f t="shared" si="44"/>
        <v>0</v>
      </c>
      <c r="AY63" s="78">
        <f t="shared" si="54"/>
        <v>11234314.95</v>
      </c>
      <c r="AZ63" s="78">
        <f t="shared" si="45"/>
        <v>11728000.7962</v>
      </c>
      <c r="BA63" s="78">
        <f t="shared" si="46"/>
        <v>11728000.7962</v>
      </c>
      <c r="BB63" s="78">
        <f t="shared" si="55"/>
        <v>3174.02</v>
      </c>
      <c r="BC63" s="82">
        <f t="shared" si="56"/>
        <v>1.000000264648686</v>
      </c>
      <c r="BD63" s="82">
        <f t="shared" si="47"/>
        <v>0.76</v>
      </c>
      <c r="BE63" s="78">
        <f t="shared" si="57"/>
        <v>3613478.2</v>
      </c>
      <c r="BF63" s="78">
        <f t="shared" si="58"/>
        <v>977.94</v>
      </c>
      <c r="BG63" s="82">
        <f t="shared" si="48"/>
        <v>0.2355</v>
      </c>
      <c r="BH63" s="78">
        <f t="shared" si="49"/>
        <v>15341479</v>
      </c>
      <c r="BI63" s="78">
        <f t="shared" si="59"/>
        <v>4151.96</v>
      </c>
      <c r="BJ63" s="77">
        <v>3878</v>
      </c>
      <c r="BK63" s="7">
        <v>56</v>
      </c>
      <c r="BL63" s="77" t="s">
        <v>62</v>
      </c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</row>
    <row r="64" spans="1:164" s="7" customFormat="1" ht="12.75">
      <c r="A64" s="76">
        <v>57</v>
      </c>
      <c r="B64" s="77" t="s">
        <v>63</v>
      </c>
      <c r="C64" s="77">
        <v>9216</v>
      </c>
      <c r="D64" s="77">
        <v>4856</v>
      </c>
      <c r="E64" s="78">
        <f t="shared" si="10"/>
        <v>2493070</v>
      </c>
      <c r="F64" s="79">
        <f t="shared" si="11"/>
        <v>825.52</v>
      </c>
      <c r="G64" s="77">
        <v>3289</v>
      </c>
      <c r="H64" s="78">
        <f t="shared" si="12"/>
        <v>495280</v>
      </c>
      <c r="I64" s="77">
        <f t="shared" si="13"/>
        <v>164</v>
      </c>
      <c r="J64" s="77">
        <v>1428</v>
      </c>
      <c r="K64" s="78">
        <f t="shared" si="14"/>
        <v>6468840</v>
      </c>
      <c r="L64" s="77">
        <f t="shared" si="15"/>
        <v>2142</v>
      </c>
      <c r="M64" s="77">
        <v>66</v>
      </c>
      <c r="N64" s="78">
        <f t="shared" si="16"/>
        <v>120800</v>
      </c>
      <c r="O64" s="77">
        <f t="shared" si="17"/>
        <v>40</v>
      </c>
      <c r="P64" s="77">
        <f t="shared" si="18"/>
        <v>0</v>
      </c>
      <c r="Q64" s="74">
        <f t="shared" si="19"/>
        <v>0</v>
      </c>
      <c r="R64" s="78">
        <f t="shared" si="20"/>
        <v>0</v>
      </c>
      <c r="S64" s="77">
        <f t="shared" si="21"/>
        <v>0</v>
      </c>
      <c r="T64" s="77">
        <f t="shared" si="22"/>
        <v>3171.52</v>
      </c>
      <c r="U64" s="77">
        <f t="shared" si="23"/>
        <v>12387.52</v>
      </c>
      <c r="V64" s="78">
        <f t="shared" si="24"/>
        <v>3020</v>
      </c>
      <c r="W64" s="78">
        <f t="shared" si="25"/>
        <v>37410310</v>
      </c>
      <c r="X64" s="81">
        <f>'Tables 6-8 Local Wealth'!M64</f>
        <v>0.89130352</v>
      </c>
      <c r="Y64" s="81">
        <f t="shared" si="26"/>
        <v>0.0124733</v>
      </c>
      <c r="Z64" s="81">
        <f t="shared" si="27"/>
        <v>0.0111175</v>
      </c>
      <c r="AA64" s="78">
        <f t="shared" si="50"/>
        <v>11670383.35523725</v>
      </c>
      <c r="AB64" s="82">
        <f t="shared" si="28"/>
        <v>0.312</v>
      </c>
      <c r="AC64" s="83">
        <f t="shared" si="29"/>
        <v>25739926.64476275</v>
      </c>
      <c r="AD64" s="82">
        <f t="shared" si="30"/>
        <v>0.688</v>
      </c>
      <c r="AE64" s="78">
        <f>'Tables 6-8 Local Wealth'!BI64</f>
        <v>13595629</v>
      </c>
      <c r="AF64" s="78">
        <f t="shared" si="31"/>
        <v>1925245.6447627507</v>
      </c>
      <c r="AG64" s="86">
        <f t="shared" si="32"/>
        <v>0</v>
      </c>
      <c r="AH64" s="78">
        <f t="shared" si="33"/>
        <v>12345402</v>
      </c>
      <c r="AI64" s="78">
        <f t="shared" si="34"/>
        <v>1925245.6447627507</v>
      </c>
      <c r="AJ64" s="83">
        <f t="shared" si="35"/>
        <v>895658.7127377251</v>
      </c>
      <c r="AK64" s="82">
        <f t="shared" si="36"/>
        <v>0.46521788799999997</v>
      </c>
      <c r="AL64" s="78">
        <f t="shared" si="37"/>
        <v>4847643.132213251</v>
      </c>
      <c r="AM64" s="78">
        <f t="shared" si="38"/>
        <v>2820904.357500476</v>
      </c>
      <c r="AN64" s="78">
        <f t="shared" si="39"/>
        <v>26635585.357500475</v>
      </c>
      <c r="AO64" s="78">
        <f t="shared" si="40"/>
        <v>2890.14598</v>
      </c>
      <c r="AP64" s="78">
        <v>24746644</v>
      </c>
      <c r="AQ64" s="73">
        <v>9377</v>
      </c>
      <c r="AR64" s="163">
        <f t="shared" si="41"/>
        <v>2639.08</v>
      </c>
      <c r="AS64" s="82">
        <f t="shared" si="51"/>
        <v>0.9131303464470677</v>
      </c>
      <c r="AT64" s="310">
        <f t="shared" si="42"/>
        <v>1888941.357500475</v>
      </c>
      <c r="AU64" s="78">
        <f t="shared" si="52"/>
        <v>1888941.3517</v>
      </c>
      <c r="AV64" s="78">
        <f t="shared" si="43"/>
        <v>0</v>
      </c>
      <c r="AW64" s="77">
        <f t="shared" si="53"/>
        <v>0</v>
      </c>
      <c r="AX64" s="78">
        <f t="shared" si="44"/>
        <v>0</v>
      </c>
      <c r="AY64" s="78">
        <f t="shared" si="54"/>
        <v>24321761.28</v>
      </c>
      <c r="AZ64" s="78">
        <f t="shared" si="45"/>
        <v>26635585.3517</v>
      </c>
      <c r="BA64" s="78">
        <f t="shared" si="46"/>
        <v>26635585.3517</v>
      </c>
      <c r="BB64" s="78">
        <f t="shared" si="55"/>
        <v>2890.15</v>
      </c>
      <c r="BC64" s="82">
        <f t="shared" si="56"/>
        <v>1.0000013909332013</v>
      </c>
      <c r="BD64" s="82">
        <f t="shared" si="47"/>
        <v>0.66</v>
      </c>
      <c r="BE64" s="78">
        <f t="shared" si="57"/>
        <v>13595629</v>
      </c>
      <c r="BF64" s="78">
        <f t="shared" si="58"/>
        <v>1475.22</v>
      </c>
      <c r="BG64" s="82">
        <f t="shared" si="48"/>
        <v>0.3379</v>
      </c>
      <c r="BH64" s="78">
        <f t="shared" si="49"/>
        <v>40231214.35</v>
      </c>
      <c r="BI64" s="78">
        <f t="shared" si="59"/>
        <v>4365.37</v>
      </c>
      <c r="BJ64" s="77">
        <v>9506</v>
      </c>
      <c r="BK64" s="7">
        <v>57</v>
      </c>
      <c r="BL64" s="77" t="s">
        <v>63</v>
      </c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</row>
    <row r="65" spans="1:164" s="7" customFormat="1" ht="12.75">
      <c r="A65" s="76">
        <v>58</v>
      </c>
      <c r="B65" s="77" t="s">
        <v>64</v>
      </c>
      <c r="C65" s="77">
        <v>10029</v>
      </c>
      <c r="D65" s="77">
        <v>5051</v>
      </c>
      <c r="E65" s="78">
        <f t="shared" si="10"/>
        <v>2593183</v>
      </c>
      <c r="F65" s="79">
        <f t="shared" si="11"/>
        <v>858.67</v>
      </c>
      <c r="G65" s="77">
        <v>2386</v>
      </c>
      <c r="H65" s="78">
        <f t="shared" si="12"/>
        <v>359380</v>
      </c>
      <c r="I65" s="77">
        <f t="shared" si="13"/>
        <v>119</v>
      </c>
      <c r="J65" s="77">
        <v>1346</v>
      </c>
      <c r="K65" s="78">
        <f t="shared" si="14"/>
        <v>6097380</v>
      </c>
      <c r="L65" s="77">
        <f t="shared" si="15"/>
        <v>2019</v>
      </c>
      <c r="M65" s="77">
        <v>238</v>
      </c>
      <c r="N65" s="78">
        <f t="shared" si="16"/>
        <v>431860</v>
      </c>
      <c r="O65" s="77">
        <f t="shared" si="17"/>
        <v>143</v>
      </c>
      <c r="P65" s="77">
        <f t="shared" si="18"/>
        <v>0</v>
      </c>
      <c r="Q65" s="74">
        <f t="shared" si="19"/>
        <v>0</v>
      </c>
      <c r="R65" s="78">
        <f t="shared" si="20"/>
        <v>0</v>
      </c>
      <c r="S65" s="77">
        <f t="shared" si="21"/>
        <v>0</v>
      </c>
      <c r="T65" s="77">
        <f t="shared" si="22"/>
        <v>3139.67</v>
      </c>
      <c r="U65" s="77">
        <f t="shared" si="23"/>
        <v>13168.67</v>
      </c>
      <c r="V65" s="78">
        <f t="shared" si="24"/>
        <v>3020</v>
      </c>
      <c r="W65" s="78">
        <f t="shared" si="25"/>
        <v>39769383</v>
      </c>
      <c r="X65" s="81">
        <f>'Tables 6-8 Local Wealth'!M65</f>
        <v>0.46093364</v>
      </c>
      <c r="Y65" s="81">
        <f t="shared" si="26"/>
        <v>0.01325986</v>
      </c>
      <c r="Z65" s="81">
        <f t="shared" si="27"/>
        <v>0.00611192</v>
      </c>
      <c r="AA65" s="78">
        <f t="shared" si="50"/>
        <v>6415871.323277864</v>
      </c>
      <c r="AB65" s="82">
        <f t="shared" si="28"/>
        <v>0.1613</v>
      </c>
      <c r="AC65" s="83">
        <f t="shared" si="29"/>
        <v>33353511.676722135</v>
      </c>
      <c r="AD65" s="82">
        <f t="shared" si="30"/>
        <v>0.8387</v>
      </c>
      <c r="AE65" s="78">
        <f>'Tables 6-8 Local Wealth'!BI65</f>
        <v>10682578</v>
      </c>
      <c r="AF65" s="78">
        <f t="shared" si="31"/>
        <v>4266706.676722136</v>
      </c>
      <c r="AG65" s="86">
        <f t="shared" si="32"/>
        <v>0</v>
      </c>
      <c r="AH65" s="78">
        <f t="shared" si="33"/>
        <v>13123896</v>
      </c>
      <c r="AI65" s="78">
        <f t="shared" si="34"/>
        <v>4266706.676722136</v>
      </c>
      <c r="AJ65" s="83">
        <f t="shared" si="35"/>
        <v>3086705.4931338336</v>
      </c>
      <c r="AK65" s="82">
        <f t="shared" si="36"/>
        <v>0.723439816</v>
      </c>
      <c r="AL65" s="78">
        <f t="shared" si="37"/>
        <v>6407643.414309302</v>
      </c>
      <c r="AM65" s="78">
        <f t="shared" si="38"/>
        <v>7353412.16985597</v>
      </c>
      <c r="AN65" s="78">
        <f t="shared" si="39"/>
        <v>36440217.16985597</v>
      </c>
      <c r="AO65" s="78">
        <f t="shared" si="40"/>
        <v>3633.48461</v>
      </c>
      <c r="AP65" s="78">
        <v>35937861</v>
      </c>
      <c r="AQ65" s="73">
        <v>10305</v>
      </c>
      <c r="AR65" s="163">
        <f t="shared" si="41"/>
        <v>3487.42</v>
      </c>
      <c r="AS65" s="82">
        <f t="shared" si="51"/>
        <v>0.9598004049341494</v>
      </c>
      <c r="AT65" s="310">
        <f t="shared" si="42"/>
        <v>502356.16985596716</v>
      </c>
      <c r="AU65" s="78">
        <f t="shared" si="52"/>
        <v>502356.1537</v>
      </c>
      <c r="AV65" s="78">
        <f t="shared" si="43"/>
        <v>0</v>
      </c>
      <c r="AW65" s="77">
        <f t="shared" si="53"/>
        <v>0</v>
      </c>
      <c r="AX65" s="78">
        <f t="shared" si="44"/>
        <v>0</v>
      </c>
      <c r="AY65" s="78">
        <f t="shared" si="54"/>
        <v>34975335.18</v>
      </c>
      <c r="AZ65" s="78">
        <f t="shared" si="45"/>
        <v>36440217.1537</v>
      </c>
      <c r="BA65" s="78">
        <f t="shared" si="46"/>
        <v>36440217.1537</v>
      </c>
      <c r="BB65" s="78">
        <f t="shared" si="55"/>
        <v>3633.48</v>
      </c>
      <c r="BC65" s="82">
        <f t="shared" si="56"/>
        <v>0.9999987312454861</v>
      </c>
      <c r="BD65" s="82">
        <f t="shared" si="47"/>
        <v>0.77</v>
      </c>
      <c r="BE65" s="78">
        <f t="shared" si="57"/>
        <v>10682578</v>
      </c>
      <c r="BF65" s="78">
        <f t="shared" si="58"/>
        <v>1065.17</v>
      </c>
      <c r="BG65" s="82">
        <f t="shared" si="48"/>
        <v>0.2267</v>
      </c>
      <c r="BH65" s="78">
        <f t="shared" si="49"/>
        <v>47122795.15</v>
      </c>
      <c r="BI65" s="78">
        <f t="shared" si="59"/>
        <v>4698.65</v>
      </c>
      <c r="BJ65" s="77">
        <v>10286</v>
      </c>
      <c r="BK65" s="7">
        <v>58</v>
      </c>
      <c r="BL65" s="77" t="s">
        <v>64</v>
      </c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</row>
    <row r="66" spans="1:164" s="7" customFormat="1" ht="12.75">
      <c r="A66" s="76">
        <v>59</v>
      </c>
      <c r="B66" s="77" t="s">
        <v>65</v>
      </c>
      <c r="C66" s="77">
        <v>4570</v>
      </c>
      <c r="D66" s="77">
        <v>3719</v>
      </c>
      <c r="E66" s="78">
        <f t="shared" si="10"/>
        <v>1909335</v>
      </c>
      <c r="F66" s="79">
        <f t="shared" si="11"/>
        <v>632.23</v>
      </c>
      <c r="G66" s="77">
        <v>1785</v>
      </c>
      <c r="H66" s="78">
        <f t="shared" si="12"/>
        <v>268780</v>
      </c>
      <c r="I66" s="77">
        <f t="shared" si="13"/>
        <v>89</v>
      </c>
      <c r="J66" s="77">
        <v>628</v>
      </c>
      <c r="K66" s="78">
        <f t="shared" si="14"/>
        <v>2844840</v>
      </c>
      <c r="L66" s="77">
        <f t="shared" si="15"/>
        <v>942</v>
      </c>
      <c r="M66" s="77">
        <v>288</v>
      </c>
      <c r="N66" s="78">
        <f t="shared" si="16"/>
        <v>522460</v>
      </c>
      <c r="O66" s="77">
        <f t="shared" si="17"/>
        <v>173</v>
      </c>
      <c r="P66" s="77">
        <f t="shared" si="18"/>
        <v>2930</v>
      </c>
      <c r="Q66" s="74">
        <f t="shared" si="19"/>
        <v>0.07813</v>
      </c>
      <c r="R66" s="78">
        <f t="shared" si="20"/>
        <v>1078140</v>
      </c>
      <c r="S66" s="77">
        <f t="shared" si="21"/>
        <v>357</v>
      </c>
      <c r="T66" s="77">
        <f t="shared" si="22"/>
        <v>2193.23</v>
      </c>
      <c r="U66" s="77">
        <f t="shared" si="23"/>
        <v>6763.23</v>
      </c>
      <c r="V66" s="78">
        <f t="shared" si="24"/>
        <v>3020</v>
      </c>
      <c r="W66" s="78">
        <f t="shared" si="25"/>
        <v>20424955</v>
      </c>
      <c r="X66" s="81">
        <f>'Tables 6-8 Local Wealth'!M66</f>
        <v>0.42757581</v>
      </c>
      <c r="Y66" s="81">
        <f t="shared" si="26"/>
        <v>0.00681006</v>
      </c>
      <c r="Z66" s="81">
        <f t="shared" si="27"/>
        <v>0.00291182</v>
      </c>
      <c r="AA66" s="78">
        <f t="shared" si="50"/>
        <v>3056627.448747194</v>
      </c>
      <c r="AB66" s="82">
        <f t="shared" si="28"/>
        <v>0.1497</v>
      </c>
      <c r="AC66" s="83">
        <f t="shared" si="29"/>
        <v>17368327.551252805</v>
      </c>
      <c r="AD66" s="82">
        <f t="shared" si="30"/>
        <v>0.8503</v>
      </c>
      <c r="AE66" s="78">
        <f>'Tables 6-8 Local Wealth'!BI66</f>
        <v>4914516</v>
      </c>
      <c r="AF66" s="78">
        <f t="shared" si="31"/>
        <v>1857888.551252806</v>
      </c>
      <c r="AG66" s="86">
        <f t="shared" si="32"/>
        <v>0</v>
      </c>
      <c r="AH66" s="78">
        <f t="shared" si="33"/>
        <v>6740235</v>
      </c>
      <c r="AI66" s="78">
        <f t="shared" si="34"/>
        <v>1857888.551252806</v>
      </c>
      <c r="AJ66" s="83">
        <f t="shared" si="35"/>
        <v>1381255.629937819</v>
      </c>
      <c r="AK66" s="82">
        <f t="shared" si="36"/>
        <v>0.743454514</v>
      </c>
      <c r="AL66" s="78">
        <f t="shared" si="37"/>
        <v>3629802.5062329704</v>
      </c>
      <c r="AM66" s="78">
        <f t="shared" si="38"/>
        <v>3239144.181190625</v>
      </c>
      <c r="AN66" s="78">
        <f t="shared" si="39"/>
        <v>18749583.181190625</v>
      </c>
      <c r="AO66" s="78">
        <f t="shared" si="40"/>
        <v>4102.75343</v>
      </c>
      <c r="AP66" s="78">
        <v>17929558</v>
      </c>
      <c r="AQ66" s="73">
        <v>4578</v>
      </c>
      <c r="AR66" s="163">
        <f t="shared" si="41"/>
        <v>3916.46</v>
      </c>
      <c r="AS66" s="82">
        <f t="shared" si="51"/>
        <v>0.9545930719019593</v>
      </c>
      <c r="AT66" s="310">
        <f t="shared" si="42"/>
        <v>820025.1811906248</v>
      </c>
      <c r="AU66" s="78">
        <f t="shared" si="52"/>
        <v>820025.1751</v>
      </c>
      <c r="AV66" s="78">
        <f t="shared" si="43"/>
        <v>0</v>
      </c>
      <c r="AW66" s="77">
        <f t="shared" si="53"/>
        <v>0</v>
      </c>
      <c r="AX66" s="78">
        <f t="shared" si="44"/>
        <v>0</v>
      </c>
      <c r="AY66" s="78">
        <f t="shared" si="54"/>
        <v>17898222.2</v>
      </c>
      <c r="AZ66" s="78">
        <f t="shared" si="45"/>
        <v>18749583.1751</v>
      </c>
      <c r="BA66" s="78">
        <f t="shared" si="46"/>
        <v>18749583.1751</v>
      </c>
      <c r="BB66" s="78">
        <f t="shared" si="55"/>
        <v>4102.75</v>
      </c>
      <c r="BC66" s="82">
        <f t="shared" si="56"/>
        <v>0.9999991639760814</v>
      </c>
      <c r="BD66" s="82">
        <f t="shared" si="47"/>
        <v>0.79</v>
      </c>
      <c r="BE66" s="78">
        <f t="shared" si="57"/>
        <v>4914516</v>
      </c>
      <c r="BF66" s="78">
        <f t="shared" si="58"/>
        <v>1075.39</v>
      </c>
      <c r="BG66" s="82">
        <f t="shared" si="48"/>
        <v>0.2077</v>
      </c>
      <c r="BH66" s="78">
        <f t="shared" si="49"/>
        <v>23664099.18</v>
      </c>
      <c r="BI66" s="78">
        <f t="shared" si="59"/>
        <v>5178.14</v>
      </c>
      <c r="BJ66" s="77">
        <v>4767</v>
      </c>
      <c r="BK66" s="7">
        <v>59</v>
      </c>
      <c r="BL66" s="77" t="s">
        <v>65</v>
      </c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</row>
    <row r="67" spans="1:164" s="124" customFormat="1" ht="12.75">
      <c r="A67" s="115">
        <v>60</v>
      </c>
      <c r="B67" s="116" t="s">
        <v>66</v>
      </c>
      <c r="C67" s="116">
        <v>7764</v>
      </c>
      <c r="D67" s="116">
        <v>3945</v>
      </c>
      <c r="E67" s="117">
        <f t="shared" si="10"/>
        <v>2025363</v>
      </c>
      <c r="F67" s="118">
        <f t="shared" si="11"/>
        <v>670.65</v>
      </c>
      <c r="G67" s="116">
        <v>2336</v>
      </c>
      <c r="H67" s="117">
        <f t="shared" si="12"/>
        <v>353340</v>
      </c>
      <c r="I67" s="116">
        <f t="shared" si="13"/>
        <v>117</v>
      </c>
      <c r="J67" s="116">
        <v>964</v>
      </c>
      <c r="K67" s="117">
        <f t="shared" si="14"/>
        <v>4366920</v>
      </c>
      <c r="L67" s="116">
        <f t="shared" si="15"/>
        <v>1446</v>
      </c>
      <c r="M67" s="116">
        <v>99</v>
      </c>
      <c r="N67" s="117">
        <f t="shared" si="16"/>
        <v>178180</v>
      </c>
      <c r="O67" s="116">
        <f t="shared" si="17"/>
        <v>59</v>
      </c>
      <c r="P67" s="116">
        <f t="shared" si="18"/>
        <v>0</v>
      </c>
      <c r="Q67" s="119">
        <f t="shared" si="19"/>
        <v>0</v>
      </c>
      <c r="R67" s="117">
        <f t="shared" si="20"/>
        <v>0</v>
      </c>
      <c r="S67" s="116">
        <f t="shared" si="21"/>
        <v>0</v>
      </c>
      <c r="T67" s="116">
        <f t="shared" si="22"/>
        <v>2292.65</v>
      </c>
      <c r="U67" s="116">
        <f t="shared" si="23"/>
        <v>10056.65</v>
      </c>
      <c r="V67" s="117">
        <f t="shared" si="24"/>
        <v>3020</v>
      </c>
      <c r="W67" s="117">
        <f t="shared" si="25"/>
        <v>30371083</v>
      </c>
      <c r="X67" s="121">
        <f>'Tables 6-8 Local Wealth'!M67</f>
        <v>0.77376231</v>
      </c>
      <c r="Y67" s="121">
        <f t="shared" si="26"/>
        <v>0.01012629</v>
      </c>
      <c r="Z67" s="121">
        <f t="shared" si="27"/>
        <v>0.00783534</v>
      </c>
      <c r="AA67" s="117">
        <f t="shared" si="50"/>
        <v>8224998.562502777</v>
      </c>
      <c r="AB67" s="122">
        <f t="shared" si="28"/>
        <v>0.2708</v>
      </c>
      <c r="AC67" s="123">
        <f t="shared" si="29"/>
        <v>22146084.43749722</v>
      </c>
      <c r="AD67" s="122">
        <f t="shared" si="30"/>
        <v>0.7292</v>
      </c>
      <c r="AE67" s="117">
        <f>'Tables 6-8 Local Wealth'!BI67</f>
        <v>13617046</v>
      </c>
      <c r="AF67" s="117">
        <f t="shared" si="31"/>
        <v>5392047.437497223</v>
      </c>
      <c r="AG67" s="179">
        <f t="shared" si="32"/>
        <v>0</v>
      </c>
      <c r="AH67" s="117">
        <f t="shared" si="33"/>
        <v>10022457</v>
      </c>
      <c r="AI67" s="117">
        <f t="shared" si="34"/>
        <v>5392047.437497223</v>
      </c>
      <c r="AJ67" s="123">
        <f t="shared" si="35"/>
        <v>2888749.5889767646</v>
      </c>
      <c r="AK67" s="122">
        <f t="shared" si="36"/>
        <v>0.5357426140000001</v>
      </c>
      <c r="AL67" s="117">
        <f t="shared" si="37"/>
        <v>2480707.7229058347</v>
      </c>
      <c r="AM67" s="117">
        <f t="shared" si="38"/>
        <v>8280797.026473988</v>
      </c>
      <c r="AN67" s="117">
        <f t="shared" si="39"/>
        <v>25034834.026473984</v>
      </c>
      <c r="AO67" s="117">
        <f t="shared" si="40"/>
        <v>3224.4763</v>
      </c>
      <c r="AP67" s="117">
        <v>23571332</v>
      </c>
      <c r="AQ67" s="162">
        <v>7953</v>
      </c>
      <c r="AR67" s="164">
        <f t="shared" si="41"/>
        <v>2963.83</v>
      </c>
      <c r="AS67" s="122">
        <f t="shared" si="51"/>
        <v>0.9191663154726862</v>
      </c>
      <c r="AT67" s="311">
        <f t="shared" si="42"/>
        <v>1463502.0264739841</v>
      </c>
      <c r="AU67" s="117">
        <f t="shared" si="52"/>
        <v>1463501.9932</v>
      </c>
      <c r="AV67" s="117">
        <f t="shared" si="43"/>
        <v>0</v>
      </c>
      <c r="AW67" s="116">
        <f t="shared" si="53"/>
        <v>0</v>
      </c>
      <c r="AX67" s="117">
        <f t="shared" si="44"/>
        <v>0</v>
      </c>
      <c r="AY67" s="117">
        <f t="shared" si="54"/>
        <v>23011176.12</v>
      </c>
      <c r="AZ67" s="117">
        <f t="shared" si="45"/>
        <v>25034833.9932</v>
      </c>
      <c r="BA67" s="117">
        <f t="shared" si="46"/>
        <v>25034833.9932</v>
      </c>
      <c r="BB67" s="117">
        <f t="shared" si="55"/>
        <v>3224.48</v>
      </c>
      <c r="BC67" s="122">
        <f t="shared" si="56"/>
        <v>1.0000011474731572</v>
      </c>
      <c r="BD67" s="122">
        <f t="shared" si="47"/>
        <v>0.65</v>
      </c>
      <c r="BE67" s="117">
        <f t="shared" si="57"/>
        <v>13617046</v>
      </c>
      <c r="BF67" s="117">
        <f t="shared" si="58"/>
        <v>1753.87</v>
      </c>
      <c r="BG67" s="122">
        <f t="shared" si="48"/>
        <v>0.3523</v>
      </c>
      <c r="BH67" s="117">
        <f t="shared" si="49"/>
        <v>38651879.99</v>
      </c>
      <c r="BI67" s="117">
        <f t="shared" si="59"/>
        <v>4978.35</v>
      </c>
      <c r="BJ67" s="116">
        <v>8065</v>
      </c>
      <c r="BK67" s="124">
        <v>60</v>
      </c>
      <c r="BL67" s="116" t="s">
        <v>66</v>
      </c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</row>
    <row r="68" spans="1:164" s="7" customFormat="1" ht="12.75">
      <c r="A68" s="76">
        <v>61</v>
      </c>
      <c r="B68" s="77" t="s">
        <v>67</v>
      </c>
      <c r="C68" s="77">
        <v>3820</v>
      </c>
      <c r="D68" s="77">
        <v>2153</v>
      </c>
      <c r="E68" s="78">
        <f t="shared" si="10"/>
        <v>1105350</v>
      </c>
      <c r="F68" s="79">
        <f t="shared" si="11"/>
        <v>366.01</v>
      </c>
      <c r="G68" s="77">
        <v>1229</v>
      </c>
      <c r="H68" s="78">
        <f t="shared" si="12"/>
        <v>184220</v>
      </c>
      <c r="I68" s="77">
        <f t="shared" si="13"/>
        <v>61</v>
      </c>
      <c r="J68" s="77">
        <v>434</v>
      </c>
      <c r="K68" s="78">
        <f t="shared" si="14"/>
        <v>1966020</v>
      </c>
      <c r="L68" s="77">
        <f t="shared" si="15"/>
        <v>651</v>
      </c>
      <c r="M68" s="77">
        <v>141</v>
      </c>
      <c r="N68" s="78">
        <f t="shared" si="16"/>
        <v>256700</v>
      </c>
      <c r="O68" s="77">
        <f t="shared" si="17"/>
        <v>85</v>
      </c>
      <c r="P68" s="77">
        <f t="shared" si="18"/>
        <v>3680</v>
      </c>
      <c r="Q68" s="74">
        <f t="shared" si="19"/>
        <v>0.09813</v>
      </c>
      <c r="R68" s="78">
        <f t="shared" si="20"/>
        <v>1132500</v>
      </c>
      <c r="S68" s="77">
        <f t="shared" si="21"/>
        <v>375</v>
      </c>
      <c r="T68" s="77">
        <f t="shared" si="22"/>
        <v>1538.01</v>
      </c>
      <c r="U68" s="77">
        <f t="shared" si="23"/>
        <v>5358.01</v>
      </c>
      <c r="V68" s="78">
        <f t="shared" si="24"/>
        <v>3020</v>
      </c>
      <c r="W68" s="78">
        <f t="shared" si="25"/>
        <v>16181190</v>
      </c>
      <c r="X68" s="81">
        <f>'Tables 6-8 Local Wealth'!M68</f>
        <v>1.47141934</v>
      </c>
      <c r="Y68" s="81">
        <f t="shared" si="26"/>
        <v>0.00539511</v>
      </c>
      <c r="Z68" s="81">
        <f t="shared" si="27"/>
        <v>0.00793847</v>
      </c>
      <c r="AA68" s="78">
        <f t="shared" si="50"/>
        <v>8333257.310910748</v>
      </c>
      <c r="AB68" s="82">
        <f t="shared" si="28"/>
        <v>0.515</v>
      </c>
      <c r="AC68" s="83">
        <f t="shared" si="29"/>
        <v>7847932.689089252</v>
      </c>
      <c r="AD68" s="82">
        <f t="shared" si="30"/>
        <v>0.485</v>
      </c>
      <c r="AE68" s="78">
        <f>'Tables 6-8 Local Wealth'!BI68</f>
        <v>8927952</v>
      </c>
      <c r="AF68" s="78">
        <f t="shared" si="31"/>
        <v>594694.6890892517</v>
      </c>
      <c r="AG68" s="86">
        <f t="shared" si="32"/>
        <v>0</v>
      </c>
      <c r="AH68" s="78">
        <f t="shared" si="33"/>
        <v>5339793</v>
      </c>
      <c r="AI68" s="78">
        <f t="shared" si="34"/>
        <v>594694.6890892517</v>
      </c>
      <c r="AJ68" s="83">
        <f t="shared" si="35"/>
        <v>69667.52893652456</v>
      </c>
      <c r="AK68" s="82">
        <f t="shared" si="36"/>
        <v>0.11714839600000003</v>
      </c>
      <c r="AL68" s="78">
        <f t="shared" si="37"/>
        <v>555880.6559855037</v>
      </c>
      <c r="AM68" s="78">
        <f t="shared" si="38"/>
        <v>664362.2180257762</v>
      </c>
      <c r="AN68" s="78">
        <f t="shared" si="39"/>
        <v>7917600.218025777</v>
      </c>
      <c r="AO68" s="78">
        <f t="shared" si="40"/>
        <v>2072.67021</v>
      </c>
      <c r="AP68" s="78">
        <v>8950204</v>
      </c>
      <c r="AQ68" s="73">
        <v>3918</v>
      </c>
      <c r="AR68" s="163">
        <f t="shared" si="41"/>
        <v>2284.38</v>
      </c>
      <c r="AS68" s="82">
        <f t="shared" si="51"/>
        <v>1.102143500195335</v>
      </c>
      <c r="AT68" s="310">
        <f t="shared" si="42"/>
        <v>0</v>
      </c>
      <c r="AU68" s="78">
        <f t="shared" si="52"/>
        <v>-223872.4</v>
      </c>
      <c r="AV68" s="78">
        <f t="shared" si="43"/>
        <v>808731.3977999995</v>
      </c>
      <c r="AW68" s="77">
        <f t="shared" si="53"/>
        <v>3820</v>
      </c>
      <c r="AX68" s="78">
        <f t="shared" si="44"/>
        <v>211.70978999999986</v>
      </c>
      <c r="AY68" s="78">
        <f t="shared" si="54"/>
        <v>8726331.6</v>
      </c>
      <c r="AZ68" s="78">
        <f t="shared" si="45"/>
        <v>7917600.2022</v>
      </c>
      <c r="BA68" s="78">
        <f t="shared" si="46"/>
        <v>8726331.6</v>
      </c>
      <c r="BB68" s="78">
        <f t="shared" si="55"/>
        <v>2284.38</v>
      </c>
      <c r="BC68" s="82">
        <f t="shared" si="56"/>
        <v>1.102143500195335</v>
      </c>
      <c r="BD68" s="82">
        <f t="shared" si="47"/>
        <v>0.52</v>
      </c>
      <c r="BE68" s="78">
        <f t="shared" si="57"/>
        <v>8119220.6</v>
      </c>
      <c r="BF68" s="78">
        <f t="shared" si="58"/>
        <v>2125.45</v>
      </c>
      <c r="BG68" s="82">
        <f t="shared" si="48"/>
        <v>0.482</v>
      </c>
      <c r="BH68" s="78">
        <f t="shared" si="49"/>
        <v>16845552.2</v>
      </c>
      <c r="BI68" s="78">
        <f t="shared" si="59"/>
        <v>4409.83</v>
      </c>
      <c r="BJ68" s="77">
        <v>3906</v>
      </c>
      <c r="BK68" s="7">
        <v>61</v>
      </c>
      <c r="BL68" s="77" t="s">
        <v>67</v>
      </c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</row>
    <row r="69" spans="1:164" s="7" customFormat="1" ht="12.75">
      <c r="A69" s="76">
        <v>62</v>
      </c>
      <c r="B69" s="77" t="s">
        <v>68</v>
      </c>
      <c r="C69" s="77">
        <v>2590</v>
      </c>
      <c r="D69" s="77">
        <v>1597</v>
      </c>
      <c r="E69" s="78">
        <f t="shared" si="10"/>
        <v>819900</v>
      </c>
      <c r="F69" s="79">
        <f t="shared" si="11"/>
        <v>271.49</v>
      </c>
      <c r="G69" s="77">
        <v>1014</v>
      </c>
      <c r="H69" s="78">
        <f t="shared" si="12"/>
        <v>154020</v>
      </c>
      <c r="I69" s="77">
        <f t="shared" si="13"/>
        <v>51</v>
      </c>
      <c r="J69" s="77">
        <v>280</v>
      </c>
      <c r="K69" s="78">
        <f t="shared" si="14"/>
        <v>1268400</v>
      </c>
      <c r="L69" s="77">
        <f t="shared" si="15"/>
        <v>420</v>
      </c>
      <c r="M69" s="77">
        <v>38</v>
      </c>
      <c r="N69" s="78">
        <f t="shared" si="16"/>
        <v>69460</v>
      </c>
      <c r="O69" s="77">
        <f t="shared" si="17"/>
        <v>23</v>
      </c>
      <c r="P69" s="77">
        <f t="shared" si="18"/>
        <v>4910</v>
      </c>
      <c r="Q69" s="74">
        <f t="shared" si="19"/>
        <v>0.13093</v>
      </c>
      <c r="R69" s="78">
        <f t="shared" si="20"/>
        <v>1023780</v>
      </c>
      <c r="S69" s="77">
        <f t="shared" si="21"/>
        <v>339</v>
      </c>
      <c r="T69" s="77">
        <f t="shared" si="22"/>
        <v>1104.49</v>
      </c>
      <c r="U69" s="77">
        <f t="shared" si="23"/>
        <v>3694.49</v>
      </c>
      <c r="V69" s="78">
        <f t="shared" si="24"/>
        <v>3020</v>
      </c>
      <c r="W69" s="78">
        <f t="shared" si="25"/>
        <v>11157360</v>
      </c>
      <c r="X69" s="81">
        <f>'Tables 6-8 Local Wealth'!M69</f>
        <v>0.49971489</v>
      </c>
      <c r="Y69" s="81">
        <f t="shared" si="26"/>
        <v>0.00372007</v>
      </c>
      <c r="Z69" s="81">
        <f t="shared" si="27"/>
        <v>0.00185897</v>
      </c>
      <c r="AA69" s="78">
        <f t="shared" si="50"/>
        <v>1951418.2636280989</v>
      </c>
      <c r="AB69" s="82">
        <f t="shared" si="28"/>
        <v>0.1749</v>
      </c>
      <c r="AC69" s="83">
        <f t="shared" si="29"/>
        <v>9205941.7363719</v>
      </c>
      <c r="AD69" s="82">
        <f t="shared" si="30"/>
        <v>0.8251</v>
      </c>
      <c r="AE69" s="78">
        <f>'Tables 6-8 Local Wealth'!BI69</f>
        <v>1783184</v>
      </c>
      <c r="AF69" s="78">
        <f t="shared" si="31"/>
        <v>0</v>
      </c>
      <c r="AG69" s="86">
        <f t="shared" si="32"/>
        <v>-168234.26362809888</v>
      </c>
      <c r="AH69" s="78">
        <f t="shared" si="33"/>
        <v>3681929</v>
      </c>
      <c r="AI69" s="78">
        <f t="shared" si="34"/>
        <v>0</v>
      </c>
      <c r="AJ69" s="83">
        <f t="shared" si="35"/>
        <v>0</v>
      </c>
      <c r="AK69" s="82">
        <f t="shared" si="36"/>
        <v>0</v>
      </c>
      <c r="AL69" s="78">
        <f t="shared" si="37"/>
        <v>2577980.152866314</v>
      </c>
      <c r="AM69" s="78">
        <f t="shared" si="38"/>
        <v>0</v>
      </c>
      <c r="AN69" s="78">
        <f t="shared" si="39"/>
        <v>9205941.7363719</v>
      </c>
      <c r="AO69" s="78">
        <f t="shared" si="40"/>
        <v>3554.41766</v>
      </c>
      <c r="AP69" s="78">
        <v>8826682</v>
      </c>
      <c r="AQ69" s="73">
        <v>2604</v>
      </c>
      <c r="AR69" s="163">
        <f t="shared" si="41"/>
        <v>3389.66</v>
      </c>
      <c r="AS69" s="82">
        <f t="shared" si="51"/>
        <v>0.9536470736531283</v>
      </c>
      <c r="AT69" s="310">
        <f t="shared" si="42"/>
        <v>379259.7363719009</v>
      </c>
      <c r="AU69" s="78">
        <f t="shared" si="52"/>
        <v>379259.7394</v>
      </c>
      <c r="AV69" s="78">
        <f t="shared" si="43"/>
        <v>0</v>
      </c>
      <c r="AW69" s="77">
        <f t="shared" si="53"/>
        <v>0</v>
      </c>
      <c r="AX69" s="78">
        <f t="shared" si="44"/>
        <v>0</v>
      </c>
      <c r="AY69" s="78">
        <f t="shared" si="54"/>
        <v>8779219.4</v>
      </c>
      <c r="AZ69" s="78">
        <f t="shared" si="45"/>
        <v>9205941.7394</v>
      </c>
      <c r="BA69" s="78">
        <f t="shared" si="46"/>
        <v>9205941.7394</v>
      </c>
      <c r="BB69" s="78">
        <f t="shared" si="55"/>
        <v>3554.42</v>
      </c>
      <c r="BC69" s="82">
        <f t="shared" si="56"/>
        <v>1.0000006583356893</v>
      </c>
      <c r="BD69" s="82">
        <f t="shared" si="47"/>
        <v>0.83</v>
      </c>
      <c r="BE69" s="78">
        <f t="shared" si="57"/>
        <v>1951418.26</v>
      </c>
      <c r="BF69" s="78">
        <f t="shared" si="58"/>
        <v>753.44</v>
      </c>
      <c r="BG69" s="82">
        <f t="shared" si="48"/>
        <v>0.1749</v>
      </c>
      <c r="BH69" s="78">
        <f t="shared" si="49"/>
        <v>11157360</v>
      </c>
      <c r="BI69" s="78">
        <f t="shared" si="59"/>
        <v>4307.86</v>
      </c>
      <c r="BJ69" s="77">
        <v>2670</v>
      </c>
      <c r="BK69" s="7">
        <v>62</v>
      </c>
      <c r="BL69" s="77" t="s">
        <v>68</v>
      </c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</row>
    <row r="70" spans="1:164" s="7" customFormat="1" ht="12.75">
      <c r="A70" s="76">
        <v>63</v>
      </c>
      <c r="B70" s="77" t="s">
        <v>69</v>
      </c>
      <c r="C70" s="77">
        <v>2224</v>
      </c>
      <c r="D70" s="77">
        <v>972</v>
      </c>
      <c r="E70" s="78">
        <f t="shared" si="10"/>
        <v>499025</v>
      </c>
      <c r="F70" s="79">
        <f t="shared" si="11"/>
        <v>165.24</v>
      </c>
      <c r="G70" s="77">
        <v>474</v>
      </c>
      <c r="H70" s="78">
        <f t="shared" si="12"/>
        <v>72480</v>
      </c>
      <c r="I70" s="77">
        <f t="shared" si="13"/>
        <v>24</v>
      </c>
      <c r="J70" s="77">
        <v>324</v>
      </c>
      <c r="K70" s="78">
        <f t="shared" si="14"/>
        <v>1467720</v>
      </c>
      <c r="L70" s="77">
        <f t="shared" si="15"/>
        <v>486</v>
      </c>
      <c r="M70" s="77">
        <v>87</v>
      </c>
      <c r="N70" s="78">
        <f t="shared" si="16"/>
        <v>157040</v>
      </c>
      <c r="O70" s="77">
        <f t="shared" si="17"/>
        <v>52</v>
      </c>
      <c r="P70" s="77">
        <f t="shared" si="18"/>
        <v>5276</v>
      </c>
      <c r="Q70" s="74">
        <f t="shared" si="19"/>
        <v>0.14069</v>
      </c>
      <c r="R70" s="78">
        <f t="shared" si="20"/>
        <v>945260</v>
      </c>
      <c r="S70" s="77">
        <f t="shared" si="21"/>
        <v>313</v>
      </c>
      <c r="T70" s="77">
        <f t="shared" si="22"/>
        <v>1040.24</v>
      </c>
      <c r="U70" s="77">
        <f t="shared" si="23"/>
        <v>3264.24</v>
      </c>
      <c r="V70" s="78">
        <f t="shared" si="24"/>
        <v>3020</v>
      </c>
      <c r="W70" s="78">
        <f t="shared" si="25"/>
        <v>9858005</v>
      </c>
      <c r="X70" s="81">
        <f>'Tables 6-8 Local Wealth'!M70</f>
        <v>2.87751688</v>
      </c>
      <c r="Y70" s="81">
        <f t="shared" si="26"/>
        <v>0.00328684</v>
      </c>
      <c r="Z70" s="81">
        <f t="shared" si="27"/>
        <v>0.00945794</v>
      </c>
      <c r="AA70" s="78">
        <f t="shared" si="50"/>
        <v>9858005</v>
      </c>
      <c r="AB70" s="82">
        <f t="shared" si="28"/>
        <v>1</v>
      </c>
      <c r="AC70" s="83">
        <f t="shared" si="29"/>
        <v>0</v>
      </c>
      <c r="AD70" s="82">
        <f t="shared" si="30"/>
        <v>0</v>
      </c>
      <c r="AE70" s="78">
        <f>'Tables 6-8 Local Wealth'!BI70</f>
        <v>9742720</v>
      </c>
      <c r="AF70" s="78">
        <f t="shared" si="31"/>
        <v>0</v>
      </c>
      <c r="AG70" s="86">
        <f t="shared" si="32"/>
        <v>-115285</v>
      </c>
      <c r="AH70" s="78">
        <f t="shared" si="33"/>
        <v>3253142</v>
      </c>
      <c r="AI70" s="78">
        <f t="shared" si="34"/>
        <v>0</v>
      </c>
      <c r="AJ70" s="83">
        <f t="shared" si="35"/>
        <v>0</v>
      </c>
      <c r="AK70" s="82">
        <f t="shared" si="36"/>
        <v>0</v>
      </c>
      <c r="AL70" s="78">
        <f t="shared" si="37"/>
        <v>0</v>
      </c>
      <c r="AM70" s="78">
        <f t="shared" si="38"/>
        <v>0</v>
      </c>
      <c r="AN70" s="78">
        <f t="shared" si="39"/>
        <v>0</v>
      </c>
      <c r="AO70" s="78">
        <f t="shared" si="40"/>
        <v>0</v>
      </c>
      <c r="AP70" s="78">
        <v>6767444</v>
      </c>
      <c r="AQ70" s="73">
        <v>2205</v>
      </c>
      <c r="AR70" s="163">
        <f t="shared" si="41"/>
        <v>3069.14</v>
      </c>
      <c r="AS70" s="82">
        <f t="shared" si="51"/>
        <v>0</v>
      </c>
      <c r="AT70" s="310">
        <f t="shared" si="42"/>
        <v>0</v>
      </c>
      <c r="AU70" s="78">
        <f t="shared" si="52"/>
        <v>0</v>
      </c>
      <c r="AV70" s="78">
        <f t="shared" si="43"/>
        <v>6767444</v>
      </c>
      <c r="AW70" s="77">
        <f t="shared" si="53"/>
        <v>2224</v>
      </c>
      <c r="AX70" s="78">
        <f t="shared" si="44"/>
        <v>3042.915467625899</v>
      </c>
      <c r="AY70" s="78">
        <f t="shared" si="54"/>
        <v>6767444</v>
      </c>
      <c r="AZ70" s="78">
        <f t="shared" si="45"/>
        <v>0</v>
      </c>
      <c r="BA70" s="78">
        <f t="shared" si="46"/>
        <v>6767444</v>
      </c>
      <c r="BB70" s="78">
        <f t="shared" si="55"/>
        <v>3042.92</v>
      </c>
      <c r="BC70" s="82">
        <f t="shared" si="56"/>
        <v>0</v>
      </c>
      <c r="BD70" s="82">
        <f t="shared" si="47"/>
        <v>0.69</v>
      </c>
      <c r="BE70" s="78">
        <f t="shared" si="57"/>
        <v>3090561</v>
      </c>
      <c r="BF70" s="78">
        <f t="shared" si="58"/>
        <v>1389.64</v>
      </c>
      <c r="BG70" s="82">
        <f t="shared" si="48"/>
        <v>0.3135</v>
      </c>
      <c r="BH70" s="78">
        <f t="shared" si="49"/>
        <v>9858005</v>
      </c>
      <c r="BI70" s="78">
        <f t="shared" si="59"/>
        <v>4432.56</v>
      </c>
      <c r="BJ70" s="77">
        <v>2171</v>
      </c>
      <c r="BK70" s="7">
        <v>63</v>
      </c>
      <c r="BL70" s="77" t="s">
        <v>69</v>
      </c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</row>
    <row r="71" spans="1:164" s="7" customFormat="1" ht="12.75">
      <c r="A71" s="76">
        <v>64</v>
      </c>
      <c r="B71" s="77" t="s">
        <v>70</v>
      </c>
      <c r="C71" s="77">
        <v>2938</v>
      </c>
      <c r="D71" s="77">
        <v>1784</v>
      </c>
      <c r="E71" s="78">
        <f t="shared" si="10"/>
        <v>915906</v>
      </c>
      <c r="F71" s="79">
        <f t="shared" si="11"/>
        <v>303.28</v>
      </c>
      <c r="G71" s="77">
        <v>1213</v>
      </c>
      <c r="H71" s="78">
        <f t="shared" si="12"/>
        <v>184220</v>
      </c>
      <c r="I71" s="77">
        <f t="shared" si="13"/>
        <v>61</v>
      </c>
      <c r="J71" s="77">
        <v>333</v>
      </c>
      <c r="K71" s="78">
        <f t="shared" si="14"/>
        <v>1510000</v>
      </c>
      <c r="L71" s="77">
        <f t="shared" si="15"/>
        <v>500</v>
      </c>
      <c r="M71" s="77">
        <v>50</v>
      </c>
      <c r="N71" s="78">
        <f t="shared" si="16"/>
        <v>90600</v>
      </c>
      <c r="O71" s="77">
        <f t="shared" si="17"/>
        <v>30</v>
      </c>
      <c r="P71" s="77">
        <f t="shared" si="18"/>
        <v>4562</v>
      </c>
      <c r="Q71" s="74">
        <f t="shared" si="19"/>
        <v>0.12165</v>
      </c>
      <c r="R71" s="78">
        <f t="shared" si="20"/>
        <v>1078140</v>
      </c>
      <c r="S71" s="77">
        <f t="shared" si="21"/>
        <v>357</v>
      </c>
      <c r="T71" s="77">
        <f t="shared" si="22"/>
        <v>1251.28</v>
      </c>
      <c r="U71" s="77">
        <f t="shared" si="23"/>
        <v>4189.28</v>
      </c>
      <c r="V71" s="78">
        <f t="shared" si="24"/>
        <v>3020</v>
      </c>
      <c r="W71" s="78">
        <f t="shared" si="25"/>
        <v>12651626</v>
      </c>
      <c r="X71" s="81">
        <f>'Tables 6-8 Local Wealth'!M71</f>
        <v>0.71060101</v>
      </c>
      <c r="Y71" s="81">
        <f t="shared" si="26"/>
        <v>0.00421829</v>
      </c>
      <c r="Z71" s="81">
        <f t="shared" si="27"/>
        <v>0.00299752</v>
      </c>
      <c r="AA71" s="78">
        <f t="shared" si="50"/>
        <v>3146589.387451384</v>
      </c>
      <c r="AB71" s="82">
        <f t="shared" si="28"/>
        <v>0.2487</v>
      </c>
      <c r="AC71" s="83">
        <f t="shared" si="29"/>
        <v>9505036.612548616</v>
      </c>
      <c r="AD71" s="82">
        <f t="shared" si="30"/>
        <v>0.7513</v>
      </c>
      <c r="AE71" s="78">
        <f>'Tables 6-8 Local Wealth'!BI71</f>
        <v>4905152</v>
      </c>
      <c r="AF71" s="78">
        <f t="shared" si="31"/>
        <v>1758562.6125486158</v>
      </c>
      <c r="AG71" s="86">
        <f t="shared" si="32"/>
        <v>0</v>
      </c>
      <c r="AH71" s="78">
        <f t="shared" si="33"/>
        <v>4175037</v>
      </c>
      <c r="AI71" s="78">
        <f t="shared" si="34"/>
        <v>1758562.6125486158</v>
      </c>
      <c r="AJ71" s="83">
        <f t="shared" si="35"/>
        <v>1008780.7913734447</v>
      </c>
      <c r="AK71" s="82">
        <f t="shared" si="36"/>
        <v>0.573639394</v>
      </c>
      <c r="AL71" s="78">
        <f t="shared" si="37"/>
        <v>1386184.903234133</v>
      </c>
      <c r="AM71" s="78">
        <f t="shared" si="38"/>
        <v>2767343.4039220605</v>
      </c>
      <c r="AN71" s="78">
        <f t="shared" si="39"/>
        <v>10513817.40392206</v>
      </c>
      <c r="AO71" s="78">
        <f t="shared" si="40"/>
        <v>3578.56277</v>
      </c>
      <c r="AP71" s="78">
        <v>10458954</v>
      </c>
      <c r="AQ71" s="73">
        <v>3063</v>
      </c>
      <c r="AR71" s="163">
        <f t="shared" si="41"/>
        <v>3414.61</v>
      </c>
      <c r="AS71" s="82">
        <f t="shared" si="51"/>
        <v>0.9541847438378174</v>
      </c>
      <c r="AT71" s="310">
        <f t="shared" si="42"/>
        <v>54863.403922060505</v>
      </c>
      <c r="AU71" s="78">
        <f t="shared" si="52"/>
        <v>54863.4183</v>
      </c>
      <c r="AV71" s="78">
        <f t="shared" si="43"/>
        <v>0</v>
      </c>
      <c r="AW71" s="77">
        <f t="shared" si="53"/>
        <v>0</v>
      </c>
      <c r="AX71" s="78">
        <f t="shared" si="44"/>
        <v>0</v>
      </c>
      <c r="AY71" s="78">
        <f t="shared" si="54"/>
        <v>10032124.18</v>
      </c>
      <c r="AZ71" s="78">
        <f t="shared" si="45"/>
        <v>10513817.4183</v>
      </c>
      <c r="BA71" s="78">
        <f t="shared" si="46"/>
        <v>10513817.4183</v>
      </c>
      <c r="BB71" s="78">
        <f t="shared" si="55"/>
        <v>3578.56</v>
      </c>
      <c r="BC71" s="82">
        <f t="shared" si="56"/>
        <v>0.9999992259462309</v>
      </c>
      <c r="BD71" s="82">
        <f t="shared" si="47"/>
        <v>0.68</v>
      </c>
      <c r="BE71" s="78">
        <f t="shared" si="57"/>
        <v>4905152</v>
      </c>
      <c r="BF71" s="78">
        <f t="shared" si="58"/>
        <v>1669.55</v>
      </c>
      <c r="BG71" s="82">
        <f t="shared" si="48"/>
        <v>0.3181</v>
      </c>
      <c r="BH71" s="78">
        <f t="shared" si="49"/>
        <v>15418969.42</v>
      </c>
      <c r="BI71" s="78">
        <f t="shared" si="59"/>
        <v>5248.12</v>
      </c>
      <c r="BJ71" s="77">
        <v>3214</v>
      </c>
      <c r="BK71" s="7">
        <v>64</v>
      </c>
      <c r="BL71" s="77" t="s">
        <v>70</v>
      </c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</row>
    <row r="72" spans="1:164" s="7" customFormat="1" ht="12.75">
      <c r="A72" s="76">
        <v>65</v>
      </c>
      <c r="B72" s="77" t="s">
        <v>71</v>
      </c>
      <c r="C72" s="77">
        <v>10188</v>
      </c>
      <c r="D72" s="77">
        <v>7777</v>
      </c>
      <c r="E72" s="78">
        <f t="shared" si="10"/>
        <v>3992712</v>
      </c>
      <c r="F72" s="79">
        <f t="shared" si="11"/>
        <v>1322.09</v>
      </c>
      <c r="G72" s="77">
        <v>1887</v>
      </c>
      <c r="H72" s="78">
        <f t="shared" si="12"/>
        <v>283880</v>
      </c>
      <c r="I72" s="77">
        <f t="shared" si="13"/>
        <v>94</v>
      </c>
      <c r="J72" s="77">
        <v>1100</v>
      </c>
      <c r="K72" s="78">
        <f t="shared" si="14"/>
        <v>4983000</v>
      </c>
      <c r="L72" s="77">
        <f t="shared" si="15"/>
        <v>1650</v>
      </c>
      <c r="M72" s="77">
        <v>742</v>
      </c>
      <c r="N72" s="78">
        <f t="shared" si="16"/>
        <v>1343900</v>
      </c>
      <c r="O72" s="77">
        <f t="shared" si="17"/>
        <v>445</v>
      </c>
      <c r="P72" s="77">
        <f t="shared" si="18"/>
        <v>0</v>
      </c>
      <c r="Q72" s="74">
        <f t="shared" si="19"/>
        <v>0</v>
      </c>
      <c r="R72" s="78">
        <f t="shared" si="20"/>
        <v>0</v>
      </c>
      <c r="S72" s="77">
        <f t="shared" si="21"/>
        <v>0</v>
      </c>
      <c r="T72" s="77">
        <f t="shared" si="22"/>
        <v>3511.09</v>
      </c>
      <c r="U72" s="77">
        <f t="shared" si="23"/>
        <v>13699.09</v>
      </c>
      <c r="V72" s="78">
        <f t="shared" si="24"/>
        <v>3020</v>
      </c>
      <c r="W72" s="78">
        <f t="shared" si="25"/>
        <v>41371252</v>
      </c>
      <c r="X72" s="81">
        <f>'Tables 6-8 Local Wealth'!M72</f>
        <v>1.23670439</v>
      </c>
      <c r="Y72" s="81">
        <f t="shared" si="26"/>
        <v>0.01379395</v>
      </c>
      <c r="Z72" s="81">
        <f t="shared" si="27"/>
        <v>0.01705904</v>
      </c>
      <c r="AA72" s="78">
        <f>IF(W$75*Z72*AA$4&lt;W72,W$75*Z72*AA$4,W72)</f>
        <v>17907401.526631568</v>
      </c>
      <c r="AB72" s="82">
        <f t="shared" si="28"/>
        <v>0.4328</v>
      </c>
      <c r="AC72" s="83">
        <f t="shared" si="29"/>
        <v>23463850.473368432</v>
      </c>
      <c r="AD72" s="82">
        <f t="shared" si="30"/>
        <v>0.5672</v>
      </c>
      <c r="AE72" s="78">
        <f>'Tables 6-8 Local Wealth'!BI72</f>
        <v>21777721</v>
      </c>
      <c r="AF72" s="78">
        <f t="shared" si="31"/>
        <v>3870319.4733684324</v>
      </c>
      <c r="AG72" s="86">
        <f t="shared" si="32"/>
        <v>0</v>
      </c>
      <c r="AH72" s="78">
        <f t="shared" si="33"/>
        <v>13652513</v>
      </c>
      <c r="AI72" s="78">
        <f t="shared" si="34"/>
        <v>3870319.4733684324</v>
      </c>
      <c r="AJ72" s="83">
        <f t="shared" si="35"/>
        <v>998454.8233180953</v>
      </c>
      <c r="AK72" s="82">
        <f t="shared" si="36"/>
        <v>0.257977366</v>
      </c>
      <c r="AL72" s="78">
        <f t="shared" si="37"/>
        <v>2523584.5197026622</v>
      </c>
      <c r="AM72" s="78">
        <f t="shared" si="38"/>
        <v>4868774.296686527</v>
      </c>
      <c r="AN72" s="78">
        <f t="shared" si="39"/>
        <v>24462305.296686526</v>
      </c>
      <c r="AO72" s="78">
        <f t="shared" si="40"/>
        <v>2401.09004</v>
      </c>
      <c r="AP72" s="78">
        <v>24830539</v>
      </c>
      <c r="AQ72" s="73">
        <v>10250</v>
      </c>
      <c r="AR72" s="163">
        <f t="shared" si="41"/>
        <v>2422.49</v>
      </c>
      <c r="AS72" s="82">
        <f>IF(AO72&gt;0,AR72/AO72,0)</f>
        <v>1.0089126020446946</v>
      </c>
      <c r="AT72" s="310">
        <f t="shared" si="42"/>
        <v>0</v>
      </c>
      <c r="AU72" s="78">
        <f t="shared" si="52"/>
        <v>-150210.88</v>
      </c>
      <c r="AV72" s="78">
        <f t="shared" si="43"/>
        <v>218022.79249999672</v>
      </c>
      <c r="AW72" s="77">
        <f>IF(AV72&gt;0,C72,0)</f>
        <v>10188</v>
      </c>
      <c r="AX72" s="78">
        <f t="shared" si="44"/>
        <v>21.39996000196277</v>
      </c>
      <c r="AY72" s="78">
        <f t="shared" si="54"/>
        <v>24680328.119999997</v>
      </c>
      <c r="AZ72" s="78">
        <f t="shared" si="45"/>
        <v>24462305.3275</v>
      </c>
      <c r="BA72" s="78">
        <f t="shared" si="46"/>
        <v>24680328.119999997</v>
      </c>
      <c r="BB72" s="78">
        <f>ROUND(BA72/C72,2)</f>
        <v>2422.49</v>
      </c>
      <c r="BC72" s="82">
        <f>IF(AO72&gt;0,BB72/AO72,0)</f>
        <v>1.0089126020446946</v>
      </c>
      <c r="BD72" s="82">
        <f t="shared" si="47"/>
        <v>0.53</v>
      </c>
      <c r="BE72" s="78">
        <f t="shared" si="57"/>
        <v>21559698.21</v>
      </c>
      <c r="BF72" s="78">
        <f>ROUND(BE72/C72,2)</f>
        <v>2116.19</v>
      </c>
      <c r="BG72" s="82">
        <f t="shared" si="48"/>
        <v>0.4663</v>
      </c>
      <c r="BH72" s="78">
        <f t="shared" si="49"/>
        <v>46240026.33</v>
      </c>
      <c r="BI72" s="78">
        <f>ROUND(BH72/C72,2)</f>
        <v>4538.68</v>
      </c>
      <c r="BJ72" s="77">
        <v>10542</v>
      </c>
      <c r="BK72" s="7">
        <v>65</v>
      </c>
      <c r="BL72" s="77" t="s">
        <v>71</v>
      </c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</row>
    <row r="73" spans="1:164" s="7" customFormat="1" ht="12.75">
      <c r="A73" s="76">
        <v>66</v>
      </c>
      <c r="B73" s="77" t="s">
        <v>72</v>
      </c>
      <c r="C73" s="77">
        <v>3090</v>
      </c>
      <c r="D73" s="77">
        <v>2282</v>
      </c>
      <c r="E73" s="78">
        <f>ROUND(V73*F73,0)</f>
        <v>1171579</v>
      </c>
      <c r="F73" s="79">
        <f>ROUND(D73*F$4,2)</f>
        <v>387.94</v>
      </c>
      <c r="G73" s="77">
        <v>806</v>
      </c>
      <c r="H73" s="78">
        <f>ROUND(I73*V73,0)</f>
        <v>120800</v>
      </c>
      <c r="I73" s="77">
        <f>ROUND(G73*I$4,0)</f>
        <v>40</v>
      </c>
      <c r="J73" s="77">
        <v>561</v>
      </c>
      <c r="K73" s="78">
        <f>ROUND(L73*V73,0)</f>
        <v>2542840</v>
      </c>
      <c r="L73" s="77">
        <f>ROUND(J73*L$4,0)</f>
        <v>842</v>
      </c>
      <c r="M73" s="77">
        <v>229</v>
      </c>
      <c r="N73" s="78">
        <f>ROUND(O73*V73,0)</f>
        <v>413740</v>
      </c>
      <c r="O73" s="77">
        <f>ROUND(M73*O$4,0)</f>
        <v>137</v>
      </c>
      <c r="P73" s="77">
        <f>IF(C73&lt;7500,7500-C73,0)</f>
        <v>4410</v>
      </c>
      <c r="Q73" s="74">
        <f>ROUND(P73/37500,5)</f>
        <v>0.1176</v>
      </c>
      <c r="R73" s="78">
        <f>ROUND(S73*V73,0)</f>
        <v>1096260</v>
      </c>
      <c r="S73" s="77">
        <f>ROUND(C73*Q73,0)</f>
        <v>363</v>
      </c>
      <c r="T73" s="77">
        <f>SUM(F73+I73+L73+O73+S73,0)</f>
        <v>1769.94</v>
      </c>
      <c r="U73" s="77">
        <f>SUM(C73+T73,0)</f>
        <v>4859.9400000000005</v>
      </c>
      <c r="V73" s="78">
        <f>V$75</f>
        <v>3020</v>
      </c>
      <c r="W73" s="78">
        <f>ROUND(U73*V73,0)</f>
        <v>14677019</v>
      </c>
      <c r="X73" s="81">
        <f>'Tables 6-8 Local Wealth'!M73</f>
        <v>0.70162956</v>
      </c>
      <c r="Y73" s="81">
        <f>ROUND(U73/U$75,8)</f>
        <v>0.00489359</v>
      </c>
      <c r="Z73" s="81">
        <f>ROUND(X73*Y73,8)</f>
        <v>0.00343349</v>
      </c>
      <c r="AA73" s="78">
        <f>IF(W$75*Z73*AA$4&lt;W73,W$75*Z73*AA$4,W73)</f>
        <v>3604240.570845383</v>
      </c>
      <c r="AB73" s="82">
        <f>ROUND(AA73/W73,4)</f>
        <v>0.2456</v>
      </c>
      <c r="AC73" s="83">
        <f>IF(W73-AA73&gt;0,W73-AA73,0)</f>
        <v>11072778.429154616</v>
      </c>
      <c r="AD73" s="82">
        <f>ROUND(AC73/W73,4)</f>
        <v>0.7544</v>
      </c>
      <c r="AE73" s="78">
        <f>'Tables 6-8 Local Wealth'!BI73</f>
        <v>4151765</v>
      </c>
      <c r="AF73" s="78">
        <f>IF(AE73-AA73&gt;0,AE73-AA73,0)</f>
        <v>547524.4291546168</v>
      </c>
      <c r="AG73" s="86">
        <f>IF(AE73-AA73&lt;0,AE73-AA73,0)</f>
        <v>0</v>
      </c>
      <c r="AH73" s="78">
        <f>ROUND(W73*AH$4,0)</f>
        <v>4843416</v>
      </c>
      <c r="AI73" s="78">
        <f>IF(AF73&lt;AH73,AF73,AH73)</f>
        <v>547524.4291546168</v>
      </c>
      <c r="AJ73" s="83">
        <f>IF((1-((1-AJ$4)*X73))*AI73&gt;0,(1-((1-AJ$4)*X73))*AI73,0)</f>
        <v>317028.8345644138</v>
      </c>
      <c r="AK73" s="82">
        <f>IF(AI73=0,0,AJ73/AI73)</f>
        <v>0.579022264</v>
      </c>
      <c r="AL73" s="78">
        <f>IF(((1-((1-AL$4)*X73))*AH73)-AJ73&gt;0,((1-((1-AL$4)*X73))*AH73)-AJ73,0)</f>
        <v>2487416.86324941</v>
      </c>
      <c r="AM73" s="78">
        <f>AI73+AJ73</f>
        <v>864553.2637190307</v>
      </c>
      <c r="AN73" s="78">
        <f>AC73+AJ73</f>
        <v>11389807.26371903</v>
      </c>
      <c r="AO73" s="78">
        <f>ROUND(AN73/C73,5)</f>
        <v>3686.02177</v>
      </c>
      <c r="AP73" s="78">
        <v>10862038</v>
      </c>
      <c r="AQ73" s="73">
        <v>3247</v>
      </c>
      <c r="AR73" s="163">
        <f>ROUND(AP73/AQ73,2)</f>
        <v>3345.25</v>
      </c>
      <c r="AS73" s="82">
        <f>IF(AO73&gt;0,AR73/AO73,0)</f>
        <v>0.9075502557327544</v>
      </c>
      <c r="AT73" s="310">
        <f>IF(AN73&gt;AP73,AN73-AP73,0)</f>
        <v>527769.2637190297</v>
      </c>
      <c r="AU73" s="78">
        <f t="shared" si="52"/>
        <v>527769.2693</v>
      </c>
      <c r="AV73" s="78">
        <f>IF(AY73&gt;AZ73,AY73-AZ73,0)</f>
        <v>0</v>
      </c>
      <c r="AW73" s="77">
        <f>IF(AV73&gt;0,C73,0)</f>
        <v>0</v>
      </c>
      <c r="AX73" s="78">
        <f>IF(AV73&lt;1,0,AV73/AW73)</f>
        <v>0</v>
      </c>
      <c r="AY73" s="78">
        <f t="shared" si="54"/>
        <v>10336822.5</v>
      </c>
      <c r="AZ73" s="78">
        <f>ROUND(AO73*C73,4)</f>
        <v>11389807.2693</v>
      </c>
      <c r="BA73" s="78">
        <f>IF(AY73&gt;AZ73,AY73,AZ73)</f>
        <v>11389807.2693</v>
      </c>
      <c r="BB73" s="78">
        <f>ROUND(BA73/C73,2)</f>
        <v>3686.02</v>
      </c>
      <c r="BC73" s="82">
        <f>IF(AO73&gt;0,BB73/AO73,0)</f>
        <v>0.9999995198075025</v>
      </c>
      <c r="BD73" s="82">
        <f>ROUND(BA73/BH73,2)</f>
        <v>0.73</v>
      </c>
      <c r="BE73" s="78">
        <f t="shared" si="57"/>
        <v>4151765</v>
      </c>
      <c r="BF73" s="78">
        <f>ROUND(BE73/C73,2)</f>
        <v>1343.61</v>
      </c>
      <c r="BG73" s="82">
        <f>ROUND(BE73/BH73,4)</f>
        <v>0.2671</v>
      </c>
      <c r="BH73" s="78">
        <f>ROUND(BA73+BE73,2)</f>
        <v>15541572.27</v>
      </c>
      <c r="BI73" s="78">
        <f>ROUND(BH73/C73,2)</f>
        <v>5029.64</v>
      </c>
      <c r="BJ73" s="77">
        <v>3378</v>
      </c>
      <c r="BK73" s="7">
        <v>66</v>
      </c>
      <c r="BL73" s="77" t="s">
        <v>72</v>
      </c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</row>
    <row r="74" spans="1:64" ht="12.75">
      <c r="A74" s="71"/>
      <c r="B74" s="72"/>
      <c r="C74" s="72"/>
      <c r="D74" s="72"/>
      <c r="E74" s="72" t="s">
        <v>4</v>
      </c>
      <c r="F74" s="73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4"/>
      <c r="R74" s="72"/>
      <c r="S74" s="72"/>
      <c r="T74" s="72"/>
      <c r="U74" s="72"/>
      <c r="V74" s="72"/>
      <c r="W74" s="72"/>
      <c r="X74" s="74"/>
      <c r="Y74" s="74"/>
      <c r="Z74" s="74"/>
      <c r="AA74" s="72"/>
      <c r="AB74" s="72"/>
      <c r="AC74" s="75"/>
      <c r="AD74" s="84"/>
      <c r="AE74" s="72"/>
      <c r="AF74" s="72"/>
      <c r="AG74" s="72"/>
      <c r="AH74" s="72"/>
      <c r="AI74" s="72"/>
      <c r="AJ74" s="75"/>
      <c r="AK74" s="84"/>
      <c r="AL74" s="72"/>
      <c r="AM74" s="72"/>
      <c r="AN74" s="72"/>
      <c r="AO74" s="85"/>
      <c r="AP74" s="85"/>
      <c r="AQ74" s="73"/>
      <c r="AR74" s="85"/>
      <c r="AS74" s="72"/>
      <c r="AT74" s="72"/>
      <c r="AU74" s="72"/>
      <c r="AV74" s="72"/>
      <c r="AW74" s="72"/>
      <c r="AX74" s="85"/>
      <c r="AY74" s="72"/>
      <c r="AZ74" s="72"/>
      <c r="BA74" s="72"/>
      <c r="BB74" s="85"/>
      <c r="BC74" s="84"/>
      <c r="BD74" s="84"/>
      <c r="BE74" s="72"/>
      <c r="BF74" s="86"/>
      <c r="BG74" s="82"/>
      <c r="BH74" s="72"/>
      <c r="BI74" s="86"/>
      <c r="BJ74" s="72"/>
      <c r="BL74" s="72"/>
    </row>
    <row r="75" spans="1:64" ht="13.5" thickBot="1">
      <c r="A75" s="87"/>
      <c r="B75" s="88" t="s">
        <v>73</v>
      </c>
      <c r="C75" s="90">
        <f aca="true" t="shared" si="60" ref="C75:P75">SUM(C8:C73)</f>
        <v>740006</v>
      </c>
      <c r="D75" s="90">
        <f t="shared" si="60"/>
        <v>431870</v>
      </c>
      <c r="E75" s="89">
        <f t="shared" si="60"/>
        <v>221722062</v>
      </c>
      <c r="F75" s="91">
        <f t="shared" si="60"/>
        <v>73417.90000000001</v>
      </c>
      <c r="G75" s="90">
        <f t="shared" si="60"/>
        <v>186423</v>
      </c>
      <c r="H75" s="89">
        <f t="shared" si="60"/>
        <v>28158480</v>
      </c>
      <c r="I75" s="90">
        <f t="shared" si="60"/>
        <v>9324</v>
      </c>
      <c r="J75" s="90">
        <f t="shared" si="60"/>
        <v>95211</v>
      </c>
      <c r="K75" s="92">
        <f t="shared" si="60"/>
        <v>431355660</v>
      </c>
      <c r="L75" s="90">
        <f t="shared" si="60"/>
        <v>142833</v>
      </c>
      <c r="M75" s="90">
        <f t="shared" si="60"/>
        <v>25569</v>
      </c>
      <c r="N75" s="89">
        <f t="shared" si="60"/>
        <v>46329820</v>
      </c>
      <c r="O75" s="90">
        <f t="shared" si="60"/>
        <v>15341</v>
      </c>
      <c r="P75" s="90">
        <f t="shared" si="60"/>
        <v>147066</v>
      </c>
      <c r="Q75" s="93"/>
      <c r="R75" s="89">
        <f>SUM(R8:R73)</f>
        <v>36847020</v>
      </c>
      <c r="S75" s="90">
        <f>SUM(S8:S73)</f>
        <v>12201</v>
      </c>
      <c r="T75" s="90">
        <f>SUM(T8:T73)</f>
        <v>253116.90000000005</v>
      </c>
      <c r="U75" s="90">
        <f>SUM(U8:U73)</f>
        <v>993122.8999999999</v>
      </c>
      <c r="V75" s="89">
        <v>3020</v>
      </c>
      <c r="W75" s="89">
        <f>SUM(W8:W73)</f>
        <v>2999231162</v>
      </c>
      <c r="X75" s="93">
        <f>'Tables 6-8 Local Wealth'!M75</f>
        <v>1</v>
      </c>
      <c r="Y75" s="93">
        <f>ROUND(U75/U$75,8)</f>
        <v>1</v>
      </c>
      <c r="Z75" s="93">
        <f>ROUND(X75*Y75,8)</f>
        <v>1</v>
      </c>
      <c r="AA75" s="89">
        <f>SUM(AA8:AA73)</f>
        <v>1049661889.9426823</v>
      </c>
      <c r="AB75" s="94">
        <f>ROUND(AA75/W75,4)</f>
        <v>0.35</v>
      </c>
      <c r="AC75" s="95">
        <f>SUM(AC8:AC73)</f>
        <v>1949569272.057317</v>
      </c>
      <c r="AD75" s="94">
        <f>ROUND(AC75/W75,4)</f>
        <v>0.65</v>
      </c>
      <c r="AE75" s="89">
        <f aca="true" t="shared" si="61" ref="AE75:AJ75">SUM(AE8:AE73)</f>
        <v>1568217830</v>
      </c>
      <c r="AF75" s="89">
        <f t="shared" si="61"/>
        <v>521900970.33674073</v>
      </c>
      <c r="AG75" s="89">
        <f t="shared" si="61"/>
        <v>-3345030.2794236783</v>
      </c>
      <c r="AH75" s="89">
        <f t="shared" si="61"/>
        <v>989746283</v>
      </c>
      <c r="AI75" s="89">
        <f t="shared" si="61"/>
        <v>503761065.3517196</v>
      </c>
      <c r="AJ75" s="95">
        <f t="shared" si="61"/>
        <v>191177182.9806018</v>
      </c>
      <c r="AK75" s="94">
        <f>IF(AI75=0,0,AJ75/AI75)</f>
        <v>0.37949971946943595</v>
      </c>
      <c r="AL75" s="89">
        <f>SUM(AL8:AL73)</f>
        <v>214983126.34732562</v>
      </c>
      <c r="AM75" s="89">
        <f>SUM(AM8:AM73)</f>
        <v>694938248.3323218</v>
      </c>
      <c r="AN75" s="89">
        <f>SUM(AN8:AN73)</f>
        <v>2140746455.0379186</v>
      </c>
      <c r="AO75" s="96">
        <f>ROUND(AN75/C75,5)</f>
        <v>2892.87716</v>
      </c>
      <c r="AP75" s="89">
        <f>SUM(AP8:AP73)</f>
        <v>2184959240</v>
      </c>
      <c r="AQ75" s="91">
        <f>SUM(AQ8:AQ73)</f>
        <v>752525</v>
      </c>
      <c r="AR75" s="96">
        <f>ROUND(AP75/AQ75,2)</f>
        <v>2903.5</v>
      </c>
      <c r="AS75" s="94">
        <f>IF(AO75&gt;0,AR75/AO75,0)</f>
        <v>1.003672067430613</v>
      </c>
      <c r="AT75" s="89">
        <f>SUM(AT8:AT73)</f>
        <v>67360078.18728542</v>
      </c>
      <c r="AU75" s="89">
        <f>SUM(AU8:AU73)</f>
        <v>53907068.02219997</v>
      </c>
      <c r="AV75" s="89">
        <f>SUM(AV8:AV73)</f>
        <v>98119853.57079998</v>
      </c>
      <c r="AW75" s="89">
        <f>SUM(AW8:AW73)</f>
        <v>193638</v>
      </c>
      <c r="AX75" s="96">
        <f>IF(AV75&lt;1,0,AV75/AW75)</f>
        <v>506.71796636404</v>
      </c>
      <c r="AY75" s="89">
        <f>SUM(AY8:AY73)</f>
        <v>2147515340.45</v>
      </c>
      <c r="AZ75" s="89">
        <f>SUM(AZ8:AZ73)</f>
        <v>2140746454.4514</v>
      </c>
      <c r="BA75" s="89">
        <f>SUM(BA8:BA73)</f>
        <v>2238866308.0222</v>
      </c>
      <c r="BB75" s="96">
        <f>ROUND(BA75/C75,2)</f>
        <v>3025.47</v>
      </c>
      <c r="BC75" s="94">
        <f>IF(AO75&gt;0,BB75/AO75,0)</f>
        <v>1.0458342448249687</v>
      </c>
      <c r="BD75" s="94">
        <f>ROUND(BA75/BH75,2)</f>
        <v>0.61</v>
      </c>
      <c r="BE75" s="89">
        <f>SUM(BE8:BE73)</f>
        <v>1455303101.7399998</v>
      </c>
      <c r="BF75" s="89">
        <f>ROUND(BE75/C75,2)</f>
        <v>1966.61</v>
      </c>
      <c r="BG75" s="97">
        <f>ROUND(BE75/BH75,4)</f>
        <v>0.3939</v>
      </c>
      <c r="BH75" s="89">
        <f>SUM(BH8:BH73)</f>
        <v>3694169409.7599993</v>
      </c>
      <c r="BI75" s="89">
        <f>ROUND(BH75/C75,2)</f>
        <v>4992.08</v>
      </c>
      <c r="BJ75" s="91">
        <f>SUM(BJ8:BJ73)</f>
        <v>763840</v>
      </c>
      <c r="BK75" s="108"/>
      <c r="BL75" s="88" t="s">
        <v>6</v>
      </c>
    </row>
    <row r="76" spans="22:56" ht="13.5" thickTop="1">
      <c r="V76" s="132"/>
      <c r="X76" s="5" t="s">
        <v>4</v>
      </c>
      <c r="Y76" s="5"/>
      <c r="BA76" s="9"/>
      <c r="BD76" s="8"/>
    </row>
    <row r="77" s="313" customFormat="1" ht="12.75">
      <c r="A77" s="312"/>
    </row>
    <row r="78" spans="11:53" ht="12.75">
      <c r="K78" s="9"/>
      <c r="L78" s="9"/>
      <c r="M78" s="9"/>
      <c r="X78" s="5"/>
      <c r="Y78" s="5"/>
      <c r="AC78" s="9"/>
      <c r="AN78" s="9"/>
      <c r="BA78" s="10"/>
    </row>
    <row r="79" spans="6:53" ht="12.75">
      <c r="F79" s="3"/>
      <c r="X79" s="5"/>
      <c r="Y79" s="5"/>
      <c r="AN79" s="9"/>
      <c r="BA79" s="9"/>
    </row>
    <row r="80" spans="6:53" ht="12.75">
      <c r="F80" s="3"/>
      <c r="X80" s="5"/>
      <c r="Y80" s="5"/>
      <c r="AN80" s="9"/>
      <c r="BA80" s="9"/>
    </row>
    <row r="81" spans="6:61" ht="12.75">
      <c r="F81" s="3"/>
      <c r="X81" s="5"/>
      <c r="Y81" s="5"/>
      <c r="AN81" s="9"/>
      <c r="AO81" s="8"/>
      <c r="AP81" s="8"/>
      <c r="AQ81" s="8"/>
      <c r="BA81" s="9"/>
      <c r="BB81" s="8"/>
      <c r="BF81" s="8"/>
      <c r="BI81" s="8"/>
    </row>
    <row r="82" spans="6:53" ht="12.75">
      <c r="F82" s="3"/>
      <c r="X82" s="5"/>
      <c r="Y82" s="5"/>
      <c r="AN82" s="9"/>
      <c r="BA82" s="9"/>
    </row>
    <row r="83" spans="6:53" ht="12.75">
      <c r="F83" s="3"/>
      <c r="X83" s="5"/>
      <c r="Y83" s="5"/>
      <c r="AN83" s="9"/>
      <c r="BA83" s="9"/>
    </row>
    <row r="84" spans="6:53" ht="12.75">
      <c r="F84" s="3"/>
      <c r="X84" s="5"/>
      <c r="Y84" s="5"/>
      <c r="AN84" s="9"/>
      <c r="BA84" s="9"/>
    </row>
    <row r="85" spans="6:53" ht="12.75">
      <c r="F85" s="3"/>
      <c r="X85" s="5"/>
      <c r="Y85" s="5"/>
      <c r="AN85" s="9"/>
      <c r="BA85" s="9"/>
    </row>
    <row r="86" spans="6:53" ht="12.75">
      <c r="F86" s="3"/>
      <c r="X86" s="5"/>
      <c r="Y86" s="5"/>
      <c r="AN86" s="9"/>
      <c r="BA86" s="9"/>
    </row>
    <row r="87" spans="6:53" ht="12.75">
      <c r="F87" s="3"/>
      <c r="X87" s="5"/>
      <c r="Y87" s="5"/>
      <c r="AN87" s="9"/>
      <c r="BA87" s="9"/>
    </row>
    <row r="88" spans="6:53" ht="12.75">
      <c r="F88" s="3"/>
      <c r="X88" s="5"/>
      <c r="Y88" s="5"/>
      <c r="AN88" s="9"/>
      <c r="BA88" s="9"/>
    </row>
    <row r="89" spans="6:53" ht="12.75">
      <c r="F89" s="3"/>
      <c r="X89" s="5"/>
      <c r="Y89" s="5"/>
      <c r="AN89" s="9"/>
      <c r="BA89" s="9"/>
    </row>
    <row r="90" spans="6:53" ht="12.75">
      <c r="F90" s="3"/>
      <c r="X90" s="5"/>
      <c r="Y90" s="5"/>
      <c r="AN90" s="9"/>
      <c r="BA90" s="9"/>
    </row>
    <row r="91" spans="6:53" ht="12.75">
      <c r="F91" s="3"/>
      <c r="X91" s="5"/>
      <c r="Y91" s="5"/>
      <c r="AN91" s="9"/>
      <c r="BA91" s="9"/>
    </row>
    <row r="92" spans="6:53" ht="12.75">
      <c r="F92" s="3"/>
      <c r="X92" s="5"/>
      <c r="Y92" s="5"/>
      <c r="AN92" s="9"/>
      <c r="BA92" s="9"/>
    </row>
    <row r="93" spans="6:53" ht="12.75">
      <c r="F93" s="3"/>
      <c r="X93" s="5"/>
      <c r="Y93" s="5"/>
      <c r="AN93" s="9"/>
      <c r="BA93" s="9"/>
    </row>
    <row r="94" spans="6:53" ht="12.75">
      <c r="F94" s="3"/>
      <c r="X94" s="5"/>
      <c r="Y94" s="5"/>
      <c r="AN94" s="9"/>
      <c r="BA94" s="9"/>
    </row>
    <row r="95" spans="6:53" ht="12.75">
      <c r="F95" s="3"/>
      <c r="X95" s="5"/>
      <c r="Y95" s="5"/>
      <c r="AN95" s="9"/>
      <c r="BA95" s="9"/>
    </row>
    <row r="96" spans="6:53" ht="12.75">
      <c r="F96" s="3"/>
      <c r="X96" s="5"/>
      <c r="Y96" s="5"/>
      <c r="AN96" s="9"/>
      <c r="BA96" s="9"/>
    </row>
    <row r="97" spans="6:53" ht="12.75">
      <c r="F97" s="3"/>
      <c r="X97" s="5"/>
      <c r="Y97" s="5"/>
      <c r="AN97" s="9"/>
      <c r="BA97" s="9"/>
    </row>
    <row r="98" spans="6:53" ht="12.75">
      <c r="F98" s="3"/>
      <c r="X98" s="5"/>
      <c r="Y98" s="5"/>
      <c r="AN98" s="9"/>
      <c r="BA98" s="9"/>
    </row>
    <row r="99" spans="6:53" ht="12.75">
      <c r="F99" s="3"/>
      <c r="X99" s="5"/>
      <c r="Y99" s="5"/>
      <c r="AN99" s="9"/>
      <c r="BA99" s="9"/>
    </row>
    <row r="100" spans="6:53" ht="12.75">
      <c r="F100" s="3"/>
      <c r="X100" s="5"/>
      <c r="Y100" s="5"/>
      <c r="AN100" s="9"/>
      <c r="BA100" s="9"/>
    </row>
    <row r="101" spans="6:53" ht="12.75">
      <c r="F101" s="3"/>
      <c r="X101" s="5"/>
      <c r="Y101" s="5"/>
      <c r="AN101" s="9"/>
      <c r="BA101" s="9"/>
    </row>
    <row r="102" spans="6:53" ht="12.75">
      <c r="F102" s="3"/>
      <c r="X102" s="5"/>
      <c r="Y102" s="5"/>
      <c r="AN102" s="9"/>
      <c r="BA102" s="9"/>
    </row>
    <row r="103" spans="6:53" ht="12.75">
      <c r="F103" s="3"/>
      <c r="X103" s="5"/>
      <c r="Y103" s="5"/>
      <c r="AN103" s="9"/>
      <c r="BA103" s="9"/>
    </row>
    <row r="104" spans="6:53" ht="12.75">
      <c r="F104" s="3"/>
      <c r="X104" s="5"/>
      <c r="Y104" s="5"/>
      <c r="AN104" s="9"/>
      <c r="BA104" s="9"/>
    </row>
    <row r="105" spans="6:53" ht="12.75">
      <c r="F105" s="3"/>
      <c r="X105" s="5"/>
      <c r="Y105" s="5"/>
      <c r="AN105" s="9"/>
      <c r="BA105" s="9"/>
    </row>
    <row r="106" spans="6:53" ht="12.75">
      <c r="F106" s="3"/>
      <c r="X106" s="5"/>
      <c r="Y106" s="5"/>
      <c r="AN106" s="9"/>
      <c r="BA106" s="9"/>
    </row>
    <row r="107" spans="6:53" ht="12.75">
      <c r="F107" s="3"/>
      <c r="X107" s="5"/>
      <c r="Y107" s="5"/>
      <c r="AN107" s="9"/>
      <c r="BA107" s="9"/>
    </row>
    <row r="108" spans="6:53" ht="12.75">
      <c r="F108" s="3"/>
      <c r="X108" s="5"/>
      <c r="Y108" s="5"/>
      <c r="AN108" s="9"/>
      <c r="BA108" s="9"/>
    </row>
    <row r="109" spans="6:53" ht="12.75">
      <c r="F109" s="3"/>
      <c r="X109" s="5"/>
      <c r="Y109" s="5"/>
      <c r="AN109" s="9"/>
      <c r="BA109" s="9"/>
    </row>
    <row r="110" spans="6:53" ht="12.75">
      <c r="F110" s="3"/>
      <c r="X110" s="5"/>
      <c r="Y110" s="5"/>
      <c r="AN110" s="9"/>
      <c r="BA110" s="9"/>
    </row>
    <row r="111" spans="6:53" ht="12.75">
      <c r="F111" s="3"/>
      <c r="X111" s="5"/>
      <c r="Y111" s="5"/>
      <c r="AN111" s="9"/>
      <c r="BA111" s="9"/>
    </row>
    <row r="112" spans="6:53" ht="12.75">
      <c r="F112" s="3"/>
      <c r="X112" s="5"/>
      <c r="Y112" s="5"/>
      <c r="AN112" s="9"/>
      <c r="BA112" s="9"/>
    </row>
    <row r="113" spans="6:53" ht="12.75">
      <c r="F113" s="3"/>
      <c r="X113" s="5"/>
      <c r="Y113" s="5"/>
      <c r="AN113" s="9"/>
      <c r="BA113" s="9"/>
    </row>
    <row r="114" spans="6:53" ht="12.75">
      <c r="F114" s="3"/>
      <c r="X114" s="5"/>
      <c r="Y114" s="5"/>
      <c r="AN114" s="9"/>
      <c r="BA114" s="9"/>
    </row>
    <row r="115" spans="6:53" ht="12.75">
      <c r="F115" s="3"/>
      <c r="X115" s="5"/>
      <c r="Y115" s="5"/>
      <c r="AN115" s="9"/>
      <c r="BA115" s="9"/>
    </row>
    <row r="116" spans="6:53" ht="12.75">
      <c r="F116" s="3"/>
      <c r="X116" s="5"/>
      <c r="Y116" s="5"/>
      <c r="AN116" s="9"/>
      <c r="BA116" s="9"/>
    </row>
    <row r="117" spans="6:53" ht="12.75">
      <c r="F117" s="3"/>
      <c r="X117" s="5"/>
      <c r="Y117" s="5"/>
      <c r="AN117" s="9"/>
      <c r="BA117" s="9"/>
    </row>
    <row r="118" spans="6:53" ht="12.75">
      <c r="F118" s="3"/>
      <c r="X118" s="5"/>
      <c r="Y118" s="5"/>
      <c r="AN118" s="9"/>
      <c r="BA118" s="9"/>
    </row>
    <row r="119" spans="6:53" ht="12.75">
      <c r="F119" s="3"/>
      <c r="X119" s="5"/>
      <c r="Y119" s="5"/>
      <c r="AN119" s="9"/>
      <c r="BA119" s="9"/>
    </row>
    <row r="120" spans="6:53" ht="12.75">
      <c r="F120" s="3"/>
      <c r="X120" s="5"/>
      <c r="Y120" s="5"/>
      <c r="AN120" s="9"/>
      <c r="BA120" s="9"/>
    </row>
    <row r="121" spans="6:53" ht="12.75">
      <c r="F121" s="3"/>
      <c r="X121" s="5"/>
      <c r="Y121" s="5"/>
      <c r="AN121" s="9"/>
      <c r="BA121" s="9"/>
    </row>
    <row r="122" spans="6:53" ht="12.75">
      <c r="F122" s="3"/>
      <c r="X122" s="5"/>
      <c r="Y122" s="5"/>
      <c r="AN122" s="9"/>
      <c r="BA122" s="9"/>
    </row>
    <row r="123" spans="6:63" ht="12.75">
      <c r="F123" s="3"/>
      <c r="X123" s="5"/>
      <c r="Y123" s="5"/>
      <c r="AN123" s="9"/>
      <c r="BA123" s="9"/>
      <c r="BK123" s="9"/>
    </row>
    <row r="124" spans="6:63" ht="12.75">
      <c r="F124" s="3"/>
      <c r="X124" s="5"/>
      <c r="Y124" s="5"/>
      <c r="AN124" s="9"/>
      <c r="BA124" s="9"/>
      <c r="BK124" s="9"/>
    </row>
    <row r="125" spans="6:63" ht="12.75">
      <c r="F125" s="3"/>
      <c r="X125" s="5"/>
      <c r="Y125" s="5"/>
      <c r="AN125" s="9"/>
      <c r="BA125" s="9"/>
      <c r="BK125" s="9"/>
    </row>
    <row r="126" spans="6:63" ht="12.75">
      <c r="F126" s="3"/>
      <c r="X126" s="5"/>
      <c r="Y126" s="5"/>
      <c r="AN126" s="9"/>
      <c r="BA126" s="9"/>
      <c r="BK126" s="9"/>
    </row>
    <row r="127" spans="6:63" ht="12.75">
      <c r="F127" s="3"/>
      <c r="X127" s="5"/>
      <c r="Y127" s="5"/>
      <c r="AN127" s="9"/>
      <c r="BA127" s="9"/>
      <c r="BK127" s="9"/>
    </row>
    <row r="128" spans="6:63" ht="12.75">
      <c r="F128" s="3"/>
      <c r="X128" s="5"/>
      <c r="Y128" s="5"/>
      <c r="AN128" s="9"/>
      <c r="BA128" s="9"/>
      <c r="BK128" s="9"/>
    </row>
    <row r="129" spans="6:63" ht="12.75">
      <c r="F129" s="3"/>
      <c r="AN129" s="9"/>
      <c r="BA129" s="9"/>
      <c r="BK129" s="9"/>
    </row>
    <row r="130" spans="6:63" ht="12.75">
      <c r="F130" s="3"/>
      <c r="AN130" s="9"/>
      <c r="BA130" s="9"/>
      <c r="BK130" s="9"/>
    </row>
    <row r="131" spans="6:63" ht="12.75">
      <c r="F131" s="3"/>
      <c r="AN131" s="9"/>
      <c r="BA131" s="9"/>
      <c r="BK131" s="9"/>
    </row>
    <row r="132" spans="6:63" ht="12.75">
      <c r="F132" s="3"/>
      <c r="AN132" s="9"/>
      <c r="BA132" s="9"/>
      <c r="BK132" s="9"/>
    </row>
    <row r="133" spans="6:63" ht="12.75">
      <c r="F133" s="3"/>
      <c r="AN133" s="9"/>
      <c r="BA133" s="9"/>
      <c r="BK133" s="9"/>
    </row>
    <row r="134" spans="6:63" ht="12.75">
      <c r="F134" s="3"/>
      <c r="AN134" s="9"/>
      <c r="BA134" s="9"/>
      <c r="BK134" s="9"/>
    </row>
    <row r="135" spans="6:63" ht="12.75">
      <c r="F135" s="3"/>
      <c r="AN135" s="9"/>
      <c r="BA135" s="9"/>
      <c r="BK135" s="9"/>
    </row>
    <row r="136" spans="6:63" ht="12.75">
      <c r="F136" s="3"/>
      <c r="AN136" s="9"/>
      <c r="BA136" s="9"/>
      <c r="BK136" s="9"/>
    </row>
    <row r="137" spans="6:63" ht="12.75">
      <c r="F137" s="3"/>
      <c r="AN137" s="9"/>
      <c r="BA137" s="9"/>
      <c r="BK137" s="9"/>
    </row>
    <row r="138" spans="6:63" ht="12.75">
      <c r="F138" s="3"/>
      <c r="AN138" s="9"/>
      <c r="BA138" s="9"/>
      <c r="BK138" s="9"/>
    </row>
    <row r="139" spans="6:63" ht="12.75">
      <c r="F139" s="3"/>
      <c r="AN139" s="9"/>
      <c r="BA139" s="9"/>
      <c r="BK139" s="9"/>
    </row>
    <row r="140" spans="6:63" ht="12.75">
      <c r="F140" s="3"/>
      <c r="AN140" s="9"/>
      <c r="BA140" s="9"/>
      <c r="BK140" s="9"/>
    </row>
    <row r="141" spans="6:63" ht="12.75">
      <c r="F141" s="3"/>
      <c r="AN141" s="9"/>
      <c r="BA141" s="9"/>
      <c r="BK141" s="9"/>
    </row>
    <row r="142" spans="6:63" ht="12.75">
      <c r="F142" s="3"/>
      <c r="AN142" s="9"/>
      <c r="BA142" s="9"/>
      <c r="BK142" s="9"/>
    </row>
    <row r="143" spans="6:63" ht="12.75">
      <c r="F143" s="3"/>
      <c r="BA143" s="9"/>
      <c r="BK143" s="9"/>
    </row>
    <row r="144" spans="6:63" ht="12.75">
      <c r="F144" s="3"/>
      <c r="AN144" s="9"/>
      <c r="BA144" s="9"/>
      <c r="BK144" s="9"/>
    </row>
    <row r="145" spans="6:63" ht="12.75">
      <c r="F145" s="3"/>
      <c r="BA145" s="9"/>
      <c r="BK145" s="9"/>
    </row>
    <row r="146" spans="6:63" ht="12.75">
      <c r="F146" s="3"/>
      <c r="BK146" s="9"/>
    </row>
    <row r="147" spans="6:63" ht="12.75">
      <c r="F147" s="3"/>
      <c r="BK147" s="9"/>
    </row>
    <row r="148" spans="6:63" ht="12.75">
      <c r="F148" s="3"/>
      <c r="BK148" s="9"/>
    </row>
    <row r="149" spans="6:63" ht="12.75">
      <c r="F149" s="3"/>
      <c r="BK149" s="9"/>
    </row>
    <row r="150" spans="6:63" ht="12.75">
      <c r="F150" s="3"/>
      <c r="BK150" s="9"/>
    </row>
    <row r="151" spans="6:63" ht="12.75">
      <c r="F151" s="3"/>
      <c r="BK151" s="9"/>
    </row>
    <row r="152" spans="6:63" ht="12.75">
      <c r="F152" s="3"/>
      <c r="BK152" s="9"/>
    </row>
    <row r="153" spans="6:63" ht="12.75">
      <c r="F153" s="3"/>
      <c r="BK153" s="9"/>
    </row>
    <row r="154" spans="6:63" ht="12.75">
      <c r="F154" s="3"/>
      <c r="BK154" s="9"/>
    </row>
    <row r="155" spans="6:63" ht="12.75">
      <c r="F155" s="3"/>
      <c r="BK155" s="9"/>
    </row>
    <row r="156" spans="6:63" ht="12.75">
      <c r="F156" s="3"/>
      <c r="BK156" s="9"/>
    </row>
    <row r="157" spans="6:63" ht="12.75">
      <c r="F157" s="3"/>
      <c r="BK157" s="9"/>
    </row>
    <row r="158" spans="6:63" ht="12.75">
      <c r="F158" s="3"/>
      <c r="BK158" s="9"/>
    </row>
    <row r="159" spans="6:63" ht="12.75">
      <c r="F159" s="3"/>
      <c r="BK159" s="9"/>
    </row>
    <row r="160" spans="6:63" ht="12.75">
      <c r="F160" s="3"/>
      <c r="BK160" s="9"/>
    </row>
    <row r="161" spans="6:63" ht="12.75">
      <c r="F161" s="3"/>
      <c r="BK161" s="9"/>
    </row>
    <row r="162" spans="6:63" ht="12.75">
      <c r="F162" s="3"/>
      <c r="BK162" s="9"/>
    </row>
    <row r="163" spans="6:63" ht="12.75">
      <c r="F163" s="3"/>
      <c r="BK163" s="9"/>
    </row>
    <row r="164" spans="6:63" ht="12.75">
      <c r="F164" s="3"/>
      <c r="BK164" s="9"/>
    </row>
    <row r="165" spans="6:63" ht="12.75">
      <c r="F165" s="3"/>
      <c r="BK165" s="9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spans="6:28" ht="12.75">
      <c r="F185" s="3"/>
      <c r="AB185" s="7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spans="6:28" ht="12.75">
      <c r="F195" s="3"/>
      <c r="AB195" s="7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spans="6:28" ht="12.75">
      <c r="F211" s="3"/>
      <c r="AB211" s="7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spans="6:32" ht="12.75">
      <c r="F227" s="3"/>
      <c r="AA227" s="7"/>
      <c r="AB227" s="7"/>
      <c r="AF227" s="7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  <row r="554" ht="12.75">
      <c r="F554" s="3"/>
    </row>
    <row r="555" ht="12.75">
      <c r="F555" s="3"/>
    </row>
    <row r="556" ht="12.75">
      <c r="F556" s="3"/>
    </row>
    <row r="557" ht="12.75">
      <c r="F557" s="3"/>
    </row>
    <row r="558" ht="12.75">
      <c r="F558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  <row r="563" ht="12.75">
      <c r="F563" s="3"/>
    </row>
    <row r="564" ht="12.75">
      <c r="F564" s="3"/>
    </row>
    <row r="565" ht="12.75">
      <c r="F565" s="3"/>
    </row>
    <row r="566" ht="12.75">
      <c r="F566" s="3"/>
    </row>
    <row r="567" ht="12.75">
      <c r="F567" s="3"/>
    </row>
    <row r="568" ht="12.75">
      <c r="F568" s="3"/>
    </row>
    <row r="569" ht="12.75">
      <c r="F569" s="3"/>
    </row>
    <row r="570" ht="12.75">
      <c r="F570" s="3"/>
    </row>
    <row r="571" ht="12.75">
      <c r="F571" s="3"/>
    </row>
    <row r="572" ht="12.75">
      <c r="F572" s="3"/>
    </row>
    <row r="573" ht="12.75">
      <c r="F573" s="3"/>
    </row>
    <row r="574" ht="12.75">
      <c r="F574" s="3"/>
    </row>
    <row r="575" ht="12.75">
      <c r="F575" s="3"/>
    </row>
    <row r="576" ht="12.75">
      <c r="F576" s="3"/>
    </row>
    <row r="577" ht="12.75">
      <c r="F577" s="3"/>
    </row>
    <row r="578" ht="12.75">
      <c r="F578" s="3"/>
    </row>
    <row r="579" ht="12.75">
      <c r="F579" s="3"/>
    </row>
    <row r="580" ht="12.75">
      <c r="F580" s="3"/>
    </row>
    <row r="581" ht="12.75">
      <c r="F581" s="3"/>
    </row>
    <row r="582" ht="12.75">
      <c r="F582" s="3"/>
    </row>
    <row r="583" ht="12.75">
      <c r="F583" s="3"/>
    </row>
    <row r="584" ht="12.75">
      <c r="F584" s="3"/>
    </row>
    <row r="585" ht="12.75">
      <c r="F585" s="3"/>
    </row>
    <row r="586" ht="12.75">
      <c r="F586" s="3"/>
    </row>
    <row r="587" ht="12.75">
      <c r="F587" s="3"/>
    </row>
    <row r="588" ht="12.75">
      <c r="F588" s="3"/>
    </row>
    <row r="589" ht="12.75">
      <c r="F589" s="3"/>
    </row>
    <row r="590" ht="12.75">
      <c r="F590" s="3"/>
    </row>
    <row r="591" ht="12.75">
      <c r="F591" s="3"/>
    </row>
    <row r="592" ht="12.75">
      <c r="F592" s="3"/>
    </row>
    <row r="593" ht="12.75">
      <c r="F593" s="3"/>
    </row>
    <row r="594" ht="12.75">
      <c r="F594" s="3"/>
    </row>
    <row r="595" ht="12.75">
      <c r="F595" s="3"/>
    </row>
    <row r="596" ht="12.75">
      <c r="F596" s="3"/>
    </row>
    <row r="597" ht="12.75">
      <c r="F597" s="3"/>
    </row>
    <row r="598" ht="12.75">
      <c r="F598" s="3"/>
    </row>
    <row r="599" ht="12.75">
      <c r="F599" s="3"/>
    </row>
    <row r="600" ht="12.75">
      <c r="F600" s="3"/>
    </row>
    <row r="601" ht="12.75">
      <c r="F601" s="3"/>
    </row>
    <row r="602" ht="12.75">
      <c r="F602" s="3"/>
    </row>
    <row r="603" ht="12.75">
      <c r="F603" s="3"/>
    </row>
    <row r="604" ht="12.75">
      <c r="F604" s="3"/>
    </row>
    <row r="605" ht="12.75">
      <c r="F605" s="3"/>
    </row>
    <row r="606" ht="12.75">
      <c r="F606" s="3"/>
    </row>
    <row r="607" ht="12.75">
      <c r="F607" s="3"/>
    </row>
    <row r="608" ht="12.75">
      <c r="F608" s="3"/>
    </row>
    <row r="609" ht="12.75">
      <c r="F609" s="3"/>
    </row>
    <row r="610" ht="12.75">
      <c r="F610" s="3"/>
    </row>
    <row r="611" ht="12.75">
      <c r="F611" s="3"/>
    </row>
    <row r="612" ht="12.75">
      <c r="F612" s="3"/>
    </row>
    <row r="613" ht="12.75">
      <c r="F613" s="3"/>
    </row>
    <row r="614" ht="12.75">
      <c r="F614" s="3"/>
    </row>
    <row r="615" ht="12.75">
      <c r="F615" s="3"/>
    </row>
    <row r="616" ht="12.75">
      <c r="F616" s="3"/>
    </row>
    <row r="617" ht="12.75">
      <c r="F617" s="3"/>
    </row>
    <row r="618" ht="12.75">
      <c r="F618" s="3"/>
    </row>
    <row r="619" ht="12.75">
      <c r="F619" s="3"/>
    </row>
    <row r="620" ht="12.75">
      <c r="F620" s="3"/>
    </row>
    <row r="621" ht="12.75">
      <c r="F621" s="3"/>
    </row>
    <row r="622" ht="12.75">
      <c r="F622" s="3"/>
    </row>
    <row r="623" ht="12.75">
      <c r="F623" s="3"/>
    </row>
    <row r="624" ht="12.75">
      <c r="F624" s="3"/>
    </row>
    <row r="625" ht="12.75">
      <c r="F625" s="3"/>
    </row>
    <row r="626" ht="12.75">
      <c r="F626" s="3"/>
    </row>
    <row r="627" ht="12.75">
      <c r="F627" s="3"/>
    </row>
    <row r="628" ht="12.75">
      <c r="F628" s="3"/>
    </row>
    <row r="629" ht="12.75">
      <c r="F629" s="3"/>
    </row>
    <row r="630" ht="12.75">
      <c r="F630" s="3"/>
    </row>
    <row r="631" ht="12.75">
      <c r="F631" s="3"/>
    </row>
    <row r="632" ht="12.75">
      <c r="F632" s="3"/>
    </row>
    <row r="633" ht="12.75">
      <c r="F633" s="3"/>
    </row>
    <row r="634" ht="12.75">
      <c r="F634" s="3"/>
    </row>
    <row r="635" ht="12.75">
      <c r="F635" s="3"/>
    </row>
    <row r="636" ht="12.75">
      <c r="F636" s="3"/>
    </row>
    <row r="637" ht="12.75">
      <c r="F637" s="3"/>
    </row>
    <row r="638" ht="12.75">
      <c r="F638" s="3"/>
    </row>
    <row r="639" ht="12.75">
      <c r="F639" s="3"/>
    </row>
    <row r="640" ht="12.75">
      <c r="F640" s="3"/>
    </row>
    <row r="641" ht="12.75">
      <c r="F641" s="3"/>
    </row>
    <row r="642" ht="12.75">
      <c r="F642" s="3"/>
    </row>
    <row r="643" ht="12.75">
      <c r="F643" s="3"/>
    </row>
    <row r="644" ht="12.75">
      <c r="F644" s="3"/>
    </row>
    <row r="645" ht="12.75">
      <c r="F645" s="3"/>
    </row>
    <row r="646" ht="12.75">
      <c r="F646" s="3"/>
    </row>
    <row r="647" ht="12.75">
      <c r="F647" s="3"/>
    </row>
    <row r="648" ht="12.75">
      <c r="F648" s="3"/>
    </row>
    <row r="649" ht="12.75">
      <c r="F649" s="3"/>
    </row>
    <row r="650" ht="12.75">
      <c r="F650" s="3"/>
    </row>
    <row r="651" ht="12.75">
      <c r="F651" s="3"/>
    </row>
    <row r="652" ht="12.75">
      <c r="F652" s="3"/>
    </row>
    <row r="653" ht="12.75">
      <c r="F653" s="3"/>
    </row>
    <row r="654" ht="12.75">
      <c r="F654" s="3"/>
    </row>
    <row r="655" ht="12.75">
      <c r="F655" s="3"/>
    </row>
    <row r="656" ht="12.75">
      <c r="F656" s="3"/>
    </row>
    <row r="657" ht="12.75">
      <c r="F657" s="3"/>
    </row>
    <row r="658" ht="12.75">
      <c r="F658" s="3"/>
    </row>
    <row r="659" ht="12.75">
      <c r="F659" s="3"/>
    </row>
    <row r="660" ht="12.75">
      <c r="F660" s="3"/>
    </row>
    <row r="661" ht="12.75">
      <c r="F661" s="3"/>
    </row>
    <row r="662" ht="12.75">
      <c r="F662" s="3"/>
    </row>
    <row r="663" ht="12.75">
      <c r="F663" s="3"/>
    </row>
    <row r="664" ht="12.75">
      <c r="F664" s="3"/>
    </row>
    <row r="665" ht="12.75">
      <c r="F665" s="3"/>
    </row>
    <row r="666" ht="12.75">
      <c r="F666" s="3"/>
    </row>
    <row r="667" ht="12.75">
      <c r="F667" s="3"/>
    </row>
    <row r="668" ht="12.75">
      <c r="F668" s="3"/>
    </row>
    <row r="669" ht="12.75">
      <c r="F669" s="3"/>
    </row>
    <row r="670" ht="12.75">
      <c r="F670" s="3"/>
    </row>
    <row r="671" ht="12.75">
      <c r="F671" s="3"/>
    </row>
    <row r="672" ht="12.75">
      <c r="F672" s="3"/>
    </row>
    <row r="673" ht="12.75">
      <c r="F673" s="3"/>
    </row>
    <row r="674" ht="12.75">
      <c r="F674" s="3"/>
    </row>
    <row r="675" ht="12.75">
      <c r="F675" s="3"/>
    </row>
    <row r="676" ht="12.75">
      <c r="F676" s="3"/>
    </row>
    <row r="677" ht="12.75">
      <c r="F677" s="3"/>
    </row>
    <row r="678" ht="12.75">
      <c r="F678" s="3"/>
    </row>
    <row r="679" ht="12.75">
      <c r="F679" s="3"/>
    </row>
    <row r="680" ht="12.75">
      <c r="F680" s="3"/>
    </row>
    <row r="681" ht="12.75">
      <c r="F681" s="3"/>
    </row>
    <row r="682" ht="12.75">
      <c r="F682" s="3"/>
    </row>
    <row r="683" ht="12.75">
      <c r="F683" s="3"/>
    </row>
    <row r="684" ht="12.75">
      <c r="F684" s="3"/>
    </row>
    <row r="685" ht="12.75">
      <c r="F685" s="3"/>
    </row>
    <row r="686" ht="12.75">
      <c r="F686" s="3"/>
    </row>
    <row r="687" ht="12.75">
      <c r="F687" s="3"/>
    </row>
    <row r="688" ht="12.75">
      <c r="F688" s="3"/>
    </row>
    <row r="689" ht="12.75">
      <c r="F689" s="3"/>
    </row>
    <row r="690" ht="12.75">
      <c r="F690" s="3"/>
    </row>
    <row r="691" ht="12.75">
      <c r="F691" s="3"/>
    </row>
    <row r="692" ht="12.75">
      <c r="F692" s="3"/>
    </row>
    <row r="693" ht="12.75">
      <c r="F693" s="3"/>
    </row>
    <row r="694" ht="12.75">
      <c r="F694" s="3"/>
    </row>
    <row r="695" ht="12.75">
      <c r="F695" s="3"/>
    </row>
    <row r="696" ht="12.75">
      <c r="F696" s="3"/>
    </row>
    <row r="697" ht="12.75">
      <c r="F697" s="3"/>
    </row>
    <row r="698" ht="12.75">
      <c r="F698" s="3"/>
    </row>
    <row r="699" ht="12.75">
      <c r="F699" s="3"/>
    </row>
    <row r="700" ht="12.75">
      <c r="F700" s="3"/>
    </row>
    <row r="701" ht="12.75">
      <c r="F701" s="3"/>
    </row>
    <row r="702" ht="12.75">
      <c r="F702" s="3"/>
    </row>
    <row r="703" ht="12.75">
      <c r="F703" s="3"/>
    </row>
    <row r="704" ht="12.75">
      <c r="F704" s="3"/>
    </row>
    <row r="705" ht="12.75">
      <c r="F705" s="3"/>
    </row>
    <row r="706" ht="12.75">
      <c r="F706" s="3"/>
    </row>
    <row r="707" ht="12.75">
      <c r="F707" s="3"/>
    </row>
    <row r="708" ht="12.75">
      <c r="F708" s="3"/>
    </row>
    <row r="709" ht="12.75">
      <c r="F709" s="3"/>
    </row>
    <row r="710" ht="12.75">
      <c r="F710" s="3"/>
    </row>
    <row r="711" ht="12.75">
      <c r="F711" s="3"/>
    </row>
    <row r="712" ht="12.75">
      <c r="F712" s="3"/>
    </row>
    <row r="713" ht="12.75">
      <c r="F713" s="3"/>
    </row>
  </sheetData>
  <sheetProtection sheet="1" objects="1" scenarios="1"/>
  <mergeCells count="2">
    <mergeCell ref="AY1:BE1"/>
    <mergeCell ref="C1:W1"/>
  </mergeCells>
  <printOptions/>
  <pageMargins left="0.45" right="0.15" top="0.53" bottom="0.3" header="0.26" footer="0.17"/>
  <pageSetup firstPageNumber="7" useFirstPageNumber="1" horizontalDpi="600" verticalDpi="600" orientation="portrait" paperSize="5" scale="80" r:id="rId1"/>
  <headerFooter alignWithMargins="0">
    <oddHeader>&amp;RCircular 1061</oddHeader>
    <oddFooter>&amp;L&amp;F,&amp;D&amp;CPrepared by Division of Educaiton Finance&amp;RPage &amp;P</oddFooter>
  </headerFooter>
  <colBreaks count="6" manualBreakCount="6">
    <brk id="23" max="65535" man="1"/>
    <brk id="31" max="65535" man="1"/>
    <brk id="39" max="65535" man="1"/>
    <brk id="50" max="65535" man="1"/>
    <brk id="57" max="65535" man="1"/>
    <brk id="6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8.00390625" style="0" customWidth="1"/>
    <col min="2" max="2" width="12.7109375" style="0" customWidth="1"/>
    <col min="3" max="3" width="16.00390625" style="0" customWidth="1"/>
    <col min="4" max="4" width="12.28125" style="0" customWidth="1"/>
    <col min="5" max="5" width="11.7109375" style="0" customWidth="1"/>
    <col min="6" max="6" width="12.140625" style="0" customWidth="1"/>
    <col min="7" max="7" width="12.00390625" style="0" customWidth="1"/>
    <col min="8" max="8" width="11.28125" style="0" customWidth="1"/>
    <col min="9" max="9" width="12.421875" style="0" customWidth="1"/>
  </cols>
  <sheetData>
    <row r="1" ht="22.5">
      <c r="A1" s="172"/>
    </row>
    <row r="2" spans="1:9" ht="51" customHeight="1">
      <c r="A2" s="391" t="s">
        <v>608</v>
      </c>
      <c r="B2" s="391"/>
      <c r="C2" s="391"/>
      <c r="D2" s="391"/>
      <c r="E2" s="391"/>
      <c r="F2" s="391"/>
      <c r="G2" s="391"/>
      <c r="H2" s="391"/>
      <c r="I2" s="391"/>
    </row>
    <row r="3" spans="1:9" ht="18.75">
      <c r="A3" s="392" t="s">
        <v>665</v>
      </c>
      <c r="B3" s="392"/>
      <c r="C3" s="392"/>
      <c r="D3" s="392"/>
      <c r="E3" s="392"/>
      <c r="F3" s="392"/>
      <c r="G3" s="392"/>
      <c r="H3" s="392"/>
      <c r="I3" s="392"/>
    </row>
    <row r="4" spans="1:9" ht="69" customHeight="1">
      <c r="A4" s="137"/>
      <c r="B4" s="136" t="s">
        <v>432</v>
      </c>
      <c r="C4" s="136" t="s">
        <v>666</v>
      </c>
      <c r="D4" s="136" t="s">
        <v>433</v>
      </c>
      <c r="E4" s="136" t="s">
        <v>434</v>
      </c>
      <c r="F4" s="136" t="s">
        <v>553</v>
      </c>
      <c r="G4" s="136" t="s">
        <v>443</v>
      </c>
      <c r="H4" s="136" t="s">
        <v>444</v>
      </c>
      <c r="I4" s="136" t="s">
        <v>445</v>
      </c>
    </row>
    <row r="5" spans="1:9" ht="12.75">
      <c r="A5" s="137"/>
      <c r="B5" s="134" t="s">
        <v>435</v>
      </c>
      <c r="C5" s="134" t="s">
        <v>436</v>
      </c>
      <c r="D5" s="134" t="s">
        <v>437</v>
      </c>
      <c r="E5" s="134" t="s">
        <v>438</v>
      </c>
      <c r="F5" s="134" t="s">
        <v>551</v>
      </c>
      <c r="G5" s="134" t="s">
        <v>552</v>
      </c>
      <c r="H5" s="134" t="s">
        <v>554</v>
      </c>
      <c r="I5" s="134" t="s">
        <v>446</v>
      </c>
    </row>
    <row r="6" spans="1:9" ht="20.25" customHeight="1">
      <c r="A6" s="137" t="s">
        <v>410</v>
      </c>
      <c r="B6" s="137">
        <v>816</v>
      </c>
      <c r="C6" s="142">
        <f>'Table 2 District Summary'!T75</f>
        <v>3025.47</v>
      </c>
      <c r="D6" s="142">
        <f>B6*C6</f>
        <v>2468783.52</v>
      </c>
      <c r="E6" s="142">
        <v>2082421</v>
      </c>
      <c r="F6" s="142">
        <f>D6-E6</f>
        <v>386362.52</v>
      </c>
      <c r="G6" s="142">
        <v>244676</v>
      </c>
      <c r="H6" s="142">
        <f>F6-G6</f>
        <v>141686.52000000002</v>
      </c>
      <c r="I6" s="142">
        <f>H6/4</f>
        <v>35421.630000000005</v>
      </c>
    </row>
    <row r="7" spans="1:9" ht="18.75" customHeight="1">
      <c r="A7" s="135" t="s">
        <v>439</v>
      </c>
      <c r="B7" s="135">
        <v>586</v>
      </c>
      <c r="C7" s="138">
        <f>'Table 2 District Summary'!T75</f>
        <v>3025.47</v>
      </c>
      <c r="D7" s="138">
        <f>B7*C7</f>
        <v>1772925.42</v>
      </c>
      <c r="E7" s="138">
        <v>1527794</v>
      </c>
      <c r="F7" s="142">
        <f>D7-E7</f>
        <v>245131.41999999993</v>
      </c>
      <c r="G7" s="138">
        <v>137223</v>
      </c>
      <c r="H7" s="142">
        <f>F7-G7</f>
        <v>107908.41999999993</v>
      </c>
      <c r="I7" s="142">
        <f>H7/4</f>
        <v>26977.10499999998</v>
      </c>
    </row>
    <row r="8" spans="1:9" s="19" customFormat="1" ht="25.5" customHeight="1" thickBot="1">
      <c r="A8" s="139" t="s">
        <v>440</v>
      </c>
      <c r="B8" s="140">
        <f>SUM(B6:B7)</f>
        <v>1402</v>
      </c>
      <c r="C8" s="141"/>
      <c r="D8" s="95">
        <f aca="true" t="shared" si="0" ref="D8:I8">SUM(D6:D7)</f>
        <v>4241708.9399999995</v>
      </c>
      <c r="E8" s="95">
        <f t="shared" si="0"/>
        <v>3610215</v>
      </c>
      <c r="F8" s="95">
        <f t="shared" si="0"/>
        <v>631493.94</v>
      </c>
      <c r="G8" s="95">
        <f t="shared" si="0"/>
        <v>381899</v>
      </c>
      <c r="H8" s="95">
        <f t="shared" si="0"/>
        <v>249594.93999999994</v>
      </c>
      <c r="I8" s="95">
        <f t="shared" si="0"/>
        <v>62398.734999999986</v>
      </c>
    </row>
    <row r="9" spans="2:9" ht="27.75" customHeight="1" thickTop="1">
      <c r="B9" s="390" t="s">
        <v>441</v>
      </c>
      <c r="C9" s="390"/>
      <c r="D9" s="390"/>
      <c r="E9" s="390"/>
      <c r="F9" s="390"/>
      <c r="G9" s="390"/>
      <c r="H9" s="390"/>
      <c r="I9" s="390"/>
    </row>
    <row r="10" ht="12.75">
      <c r="B10" t="s">
        <v>442</v>
      </c>
    </row>
  </sheetData>
  <sheetProtection sheet="1" objects="1" scenarios="1"/>
  <mergeCells count="3">
    <mergeCell ref="B9:I9"/>
    <mergeCell ref="A2:I2"/>
    <mergeCell ref="A3:I3"/>
  </mergeCells>
  <printOptions/>
  <pageMargins left="0.34" right="0.33" top="0.5" bottom="0.5" header="0.25" footer="0.25"/>
  <pageSetup firstPageNumber="13" useFirstPageNumber="1" horizontalDpi="600" verticalDpi="600" orientation="portrait" paperSize="5" scale="85" r:id="rId1"/>
  <headerFooter alignWithMargins="0">
    <oddHeader>&amp;RCircular 1061</oddHeader>
    <oddFooter>&amp;L&amp;F, &amp;D&amp;CPrepared by Division of Education Finance&amp;RPage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I7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.421875" style="0" customWidth="1"/>
    <col min="2" max="2" width="5.00390625" style="0" customWidth="1"/>
    <col min="3" max="3" width="22.00390625" style="0" customWidth="1"/>
    <col min="4" max="4" width="14.57421875" style="0" customWidth="1"/>
    <col min="5" max="5" width="17.00390625" style="0" customWidth="1"/>
    <col min="6" max="6" width="11.140625" style="0" customWidth="1"/>
    <col min="7" max="7" width="16.28125" style="0" customWidth="1"/>
    <col min="8" max="8" width="12.57421875" style="0" customWidth="1"/>
    <col min="9" max="9" width="19.421875" style="0" customWidth="1"/>
    <col min="10" max="10" width="8.8515625" style="0" customWidth="1"/>
    <col min="11" max="11" width="16.8515625" style="0" customWidth="1"/>
    <col min="12" max="12" width="11.140625" style="0" customWidth="1"/>
    <col min="13" max="13" width="17.8515625" style="0" customWidth="1"/>
    <col min="14" max="14" width="8.7109375" style="0" customWidth="1"/>
    <col min="15" max="15" width="14.00390625" style="0" customWidth="1"/>
    <col min="16" max="16" width="17.7109375" style="0" customWidth="1"/>
    <col min="17" max="17" width="10.28125" style="0" customWidth="1"/>
    <col min="18" max="18" width="12.57421875" style="0" customWidth="1"/>
    <col min="19" max="19" width="13.421875" style="0" customWidth="1"/>
    <col min="20" max="20" width="8.28125" style="0" customWidth="1"/>
    <col min="21" max="21" width="14.8515625" style="0" customWidth="1"/>
    <col min="22" max="22" width="8.7109375" style="0" customWidth="1"/>
    <col min="23" max="23" width="18.57421875" style="0" customWidth="1"/>
    <col min="24" max="24" width="9.7109375" style="0" customWidth="1"/>
    <col min="25" max="25" width="11.7109375" style="0" customWidth="1"/>
    <col min="26" max="26" width="8.28125" style="0" customWidth="1"/>
    <col min="27" max="27" width="2.00390625" style="0" customWidth="1"/>
    <col min="28" max="28" width="27.8515625" style="0" customWidth="1"/>
    <col min="29" max="29" width="25.28125" style="0" customWidth="1"/>
    <col min="30" max="30" width="24.421875" style="0" customWidth="1"/>
    <col min="31" max="31" width="11.28125" style="0" customWidth="1"/>
    <col min="32" max="32" width="14.57421875" style="0" customWidth="1"/>
    <col min="33" max="33" width="9.8515625" style="0" customWidth="1"/>
    <col min="34" max="34" width="12.7109375" style="0" bestFit="1" customWidth="1"/>
    <col min="35" max="36" width="8.8515625" style="0" bestFit="1" customWidth="1"/>
    <col min="37" max="37" width="7.8515625" style="0" customWidth="1"/>
    <col min="38" max="38" width="11.7109375" style="0" bestFit="1" customWidth="1"/>
    <col min="39" max="39" width="12.7109375" style="0" customWidth="1"/>
    <col min="41" max="41" width="13.421875" style="0" customWidth="1"/>
    <col min="45" max="45" width="14.57421875" style="0" customWidth="1"/>
    <col min="46" max="46" width="13.57421875" style="0" customWidth="1"/>
    <col min="47" max="47" width="13.00390625" style="0" customWidth="1"/>
    <col min="48" max="48" width="14.7109375" style="0" customWidth="1"/>
    <col min="49" max="49" width="15.28125" style="0" customWidth="1"/>
    <col min="50" max="50" width="15.140625" style="0" customWidth="1"/>
    <col min="51" max="51" width="12.8515625" style="0" customWidth="1"/>
    <col min="52" max="52" width="13.7109375" style="0" customWidth="1"/>
    <col min="53" max="53" width="13.57421875" style="0" customWidth="1"/>
    <col min="54" max="54" width="11.00390625" style="0" customWidth="1"/>
    <col min="55" max="55" width="14.140625" style="0" customWidth="1"/>
    <col min="56" max="56" width="12.57421875" style="0" customWidth="1"/>
    <col min="57" max="57" width="12.8515625" style="0" customWidth="1"/>
    <col min="58" max="58" width="15.57421875" style="0" customWidth="1"/>
    <col min="59" max="60" width="8.140625" style="0" customWidth="1"/>
    <col min="61" max="61" width="17.140625" style="0" customWidth="1"/>
    <col min="62" max="62" width="16.421875" style="0" customWidth="1"/>
    <col min="63" max="63" width="11.8515625" style="0" customWidth="1"/>
    <col min="64" max="64" width="13.7109375" style="0" customWidth="1"/>
    <col min="66" max="66" width="12.7109375" style="0" customWidth="1"/>
    <col min="67" max="67" width="11.8515625" style="0" customWidth="1"/>
    <col min="68" max="68" width="18.28125" style="0" customWidth="1"/>
    <col min="70" max="70" width="13.140625" style="0" customWidth="1"/>
    <col min="73" max="73" width="15.57421875" style="0" customWidth="1"/>
    <col min="76" max="76" width="15.28125" style="0" customWidth="1"/>
    <col min="78" max="78" width="13.57421875" style="0" customWidth="1"/>
    <col min="80" max="80" width="13.8515625" style="0" customWidth="1"/>
    <col min="82" max="82" width="14.28125" style="0" customWidth="1"/>
  </cols>
  <sheetData>
    <row r="1" spans="2:61" ht="46.5" customHeight="1">
      <c r="B1" s="172"/>
      <c r="C1" s="172"/>
      <c r="D1" s="368" t="s">
        <v>606</v>
      </c>
      <c r="E1" s="390"/>
      <c r="F1" s="390"/>
      <c r="G1" s="390"/>
      <c r="H1" s="390"/>
      <c r="I1" s="356" t="s">
        <v>668</v>
      </c>
      <c r="J1" s="357"/>
      <c r="K1" s="356"/>
      <c r="L1" s="357"/>
      <c r="M1" s="357"/>
      <c r="N1" s="357"/>
      <c r="O1" s="356" t="s">
        <v>667</v>
      </c>
      <c r="P1" s="357"/>
      <c r="Q1" s="357"/>
      <c r="R1" s="3"/>
      <c r="S1" s="3"/>
      <c r="T1" s="3"/>
      <c r="U1" s="3"/>
      <c r="V1" s="3"/>
      <c r="W1" s="356" t="s">
        <v>667</v>
      </c>
      <c r="X1" s="3"/>
      <c r="Y1" s="3"/>
      <c r="Z1" s="3"/>
      <c r="AB1" s="335" t="s">
        <v>605</v>
      </c>
      <c r="AC1" s="361"/>
      <c r="AD1" s="361"/>
      <c r="AE1" s="335" t="s">
        <v>673</v>
      </c>
      <c r="AF1" s="361"/>
      <c r="AG1" s="3"/>
      <c r="AH1" s="3"/>
      <c r="AI1" s="3"/>
      <c r="AJ1" s="3"/>
      <c r="AK1" s="3"/>
      <c r="AL1" s="3"/>
      <c r="AM1" s="3"/>
      <c r="AN1" s="335" t="s">
        <v>673</v>
      </c>
      <c r="AO1" s="3"/>
      <c r="AP1" s="3"/>
      <c r="AQ1" s="3"/>
      <c r="AR1" s="3"/>
      <c r="AS1" s="3"/>
      <c r="AT1" s="3"/>
      <c r="AU1" s="335" t="s">
        <v>673</v>
      </c>
      <c r="AV1" s="3"/>
      <c r="AW1" s="3"/>
      <c r="AX1" s="3"/>
      <c r="AY1" s="3"/>
      <c r="AZ1" s="3"/>
      <c r="BA1" s="3"/>
      <c r="BB1" s="335" t="s">
        <v>673</v>
      </c>
      <c r="BC1" s="3"/>
      <c r="BD1" s="3"/>
      <c r="BE1" s="3"/>
      <c r="BF1" s="3"/>
      <c r="BG1" s="3"/>
      <c r="BH1" s="3"/>
      <c r="BI1" s="3"/>
    </row>
    <row r="2" spans="4:61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4:61" ht="38.25">
      <c r="D3" s="14" t="s">
        <v>357</v>
      </c>
      <c r="E3" s="56" t="s">
        <v>358</v>
      </c>
      <c r="F3" s="14" t="s">
        <v>86</v>
      </c>
      <c r="G3" s="56" t="s">
        <v>452</v>
      </c>
      <c r="H3" s="14" t="s">
        <v>87</v>
      </c>
      <c r="I3" s="398" t="s">
        <v>359</v>
      </c>
      <c r="J3" s="56" t="s">
        <v>98</v>
      </c>
      <c r="K3" s="56" t="s">
        <v>99</v>
      </c>
      <c r="L3" s="56" t="s">
        <v>88</v>
      </c>
      <c r="M3" s="56" t="s">
        <v>360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B3" s="14" t="s">
        <v>85</v>
      </c>
      <c r="AC3" s="3" t="s">
        <v>85</v>
      </c>
      <c r="AD3" s="14" t="s">
        <v>90</v>
      </c>
      <c r="AE3" s="56" t="s">
        <v>334</v>
      </c>
      <c r="AF3" s="56" t="s">
        <v>334</v>
      </c>
      <c r="AG3" s="56" t="s">
        <v>335</v>
      </c>
      <c r="AH3" s="56" t="s">
        <v>336</v>
      </c>
      <c r="AI3" s="56" t="s">
        <v>337</v>
      </c>
      <c r="AJ3" s="56" t="s">
        <v>338</v>
      </c>
      <c r="AK3" s="56" t="s">
        <v>339</v>
      </c>
      <c r="AL3" s="56" t="s">
        <v>340</v>
      </c>
      <c r="AM3" s="56" t="s">
        <v>341</v>
      </c>
      <c r="AN3" s="56" t="s">
        <v>342</v>
      </c>
      <c r="AO3" s="56" t="s">
        <v>343</v>
      </c>
      <c r="AP3" s="56" t="s">
        <v>344</v>
      </c>
      <c r="AQ3" s="56" t="s">
        <v>345</v>
      </c>
      <c r="AR3" s="56" t="s">
        <v>346</v>
      </c>
      <c r="AS3" s="56" t="s">
        <v>347</v>
      </c>
      <c r="AT3" s="56" t="s">
        <v>91</v>
      </c>
      <c r="AU3" s="56" t="s">
        <v>348</v>
      </c>
      <c r="AV3" s="56" t="s">
        <v>92</v>
      </c>
      <c r="AW3" s="56" t="s">
        <v>93</v>
      </c>
      <c r="AX3" s="56" t="s">
        <v>349</v>
      </c>
      <c r="AY3" s="56" t="s">
        <v>351</v>
      </c>
      <c r="AZ3" s="56" t="s">
        <v>350</v>
      </c>
      <c r="BA3" s="56" t="s">
        <v>352</v>
      </c>
      <c r="BB3" s="56" t="s">
        <v>353</v>
      </c>
      <c r="BC3" s="56" t="s">
        <v>354</v>
      </c>
      <c r="BD3" s="56" t="s">
        <v>355</v>
      </c>
      <c r="BE3" s="56" t="s">
        <v>94</v>
      </c>
      <c r="BF3" s="56" t="s">
        <v>95</v>
      </c>
      <c r="BG3" s="56" t="s">
        <v>96</v>
      </c>
      <c r="BH3" s="56" t="s">
        <v>97</v>
      </c>
      <c r="BI3" s="56"/>
    </row>
    <row r="4" spans="3:61" ht="27.75" customHeight="1">
      <c r="C4" s="362"/>
      <c r="D4" s="58"/>
      <c r="E4" s="395" t="s">
        <v>100</v>
      </c>
      <c r="F4" s="395"/>
      <c r="G4" s="395"/>
      <c r="H4" s="395"/>
      <c r="I4" s="399"/>
      <c r="J4" s="14"/>
      <c r="K4" s="14"/>
      <c r="L4" s="14"/>
      <c r="M4" s="14"/>
      <c r="N4" s="14"/>
      <c r="O4" s="14" t="s">
        <v>362</v>
      </c>
      <c r="P4" s="14" t="s">
        <v>363</v>
      </c>
      <c r="Q4" s="14" t="s">
        <v>370</v>
      </c>
      <c r="R4" s="14" t="s">
        <v>364</v>
      </c>
      <c r="S4" s="14" t="s">
        <v>366</v>
      </c>
      <c r="T4" s="56" t="s">
        <v>371</v>
      </c>
      <c r="U4" s="14" t="s">
        <v>365</v>
      </c>
      <c r="V4" s="3" t="s">
        <v>89</v>
      </c>
      <c r="W4" s="56" t="s">
        <v>372</v>
      </c>
      <c r="X4" s="56" t="s">
        <v>374</v>
      </c>
      <c r="Y4" s="56" t="s">
        <v>453</v>
      </c>
      <c r="Z4" s="14" t="s">
        <v>375</v>
      </c>
      <c r="AB4" s="400" t="s">
        <v>122</v>
      </c>
      <c r="AC4" s="401"/>
      <c r="AD4" s="402"/>
      <c r="AE4" s="403" t="s">
        <v>328</v>
      </c>
      <c r="AF4" s="404"/>
      <c r="AG4" s="405" t="s">
        <v>329</v>
      </c>
      <c r="AH4" s="406"/>
      <c r="AI4" s="406"/>
      <c r="AJ4" s="406"/>
      <c r="AK4" s="406"/>
      <c r="AL4" s="406"/>
      <c r="AM4" s="396" t="s">
        <v>137</v>
      </c>
      <c r="AN4" s="405" t="s">
        <v>101</v>
      </c>
      <c r="AO4" s="406"/>
      <c r="AP4" s="406"/>
      <c r="AQ4" s="406"/>
      <c r="AR4" s="406"/>
      <c r="AS4" s="407"/>
      <c r="AT4" s="396" t="s">
        <v>136</v>
      </c>
      <c r="AU4" s="405" t="s">
        <v>333</v>
      </c>
      <c r="AV4" s="406"/>
      <c r="AW4" s="406"/>
      <c r="AX4" s="406"/>
      <c r="AY4" s="406"/>
      <c r="AZ4" s="406"/>
      <c r="BA4" s="407"/>
      <c r="BB4" s="405" t="s">
        <v>141</v>
      </c>
      <c r="BC4" s="406"/>
      <c r="BD4" s="406"/>
      <c r="BE4" s="406"/>
      <c r="BF4" s="396" t="s">
        <v>146</v>
      </c>
      <c r="BG4" s="393" t="s">
        <v>147</v>
      </c>
      <c r="BH4" s="393" t="s">
        <v>148</v>
      </c>
      <c r="BI4" s="396" t="s">
        <v>607</v>
      </c>
    </row>
    <row r="5" spans="2:61" ht="51">
      <c r="B5" s="11" t="s">
        <v>162</v>
      </c>
      <c r="C5" s="11" t="s">
        <v>163</v>
      </c>
      <c r="D5" s="60" t="s">
        <v>149</v>
      </c>
      <c r="E5" s="60" t="s">
        <v>150</v>
      </c>
      <c r="F5" s="60" t="s">
        <v>102</v>
      </c>
      <c r="G5" s="60" t="s">
        <v>151</v>
      </c>
      <c r="H5" s="60" t="s">
        <v>102</v>
      </c>
      <c r="I5" s="60" t="s">
        <v>152</v>
      </c>
      <c r="J5" s="60" t="s">
        <v>102</v>
      </c>
      <c r="K5" s="60" t="s">
        <v>153</v>
      </c>
      <c r="L5" s="60" t="s">
        <v>102</v>
      </c>
      <c r="M5" s="67" t="s">
        <v>356</v>
      </c>
      <c r="N5" s="60" t="s">
        <v>361</v>
      </c>
      <c r="O5" s="60" t="s">
        <v>154</v>
      </c>
      <c r="P5" s="60" t="s">
        <v>155</v>
      </c>
      <c r="Q5" s="60" t="s">
        <v>102</v>
      </c>
      <c r="R5" s="60" t="s">
        <v>156</v>
      </c>
      <c r="S5" s="60" t="s">
        <v>157</v>
      </c>
      <c r="T5" s="60" t="s">
        <v>102</v>
      </c>
      <c r="U5" s="60" t="s">
        <v>152</v>
      </c>
      <c r="V5" s="60" t="s">
        <v>102</v>
      </c>
      <c r="W5" s="12" t="s">
        <v>368</v>
      </c>
      <c r="X5" s="12" t="s">
        <v>102</v>
      </c>
      <c r="Y5" s="12" t="s">
        <v>158</v>
      </c>
      <c r="Z5" s="11" t="s">
        <v>103</v>
      </c>
      <c r="AA5" s="11"/>
      <c r="AB5" s="12" t="s">
        <v>123</v>
      </c>
      <c r="AC5" s="12" t="s">
        <v>124</v>
      </c>
      <c r="AD5" s="12" t="s">
        <v>125</v>
      </c>
      <c r="AE5" s="12" t="s">
        <v>126</v>
      </c>
      <c r="AF5" s="12" t="s">
        <v>127</v>
      </c>
      <c r="AG5" s="12" t="s">
        <v>126</v>
      </c>
      <c r="AH5" s="12" t="s">
        <v>127</v>
      </c>
      <c r="AI5" s="12" t="s">
        <v>128</v>
      </c>
      <c r="AJ5" s="12" t="s">
        <v>129</v>
      </c>
      <c r="AK5" s="12" t="s">
        <v>130</v>
      </c>
      <c r="AL5" s="12" t="s">
        <v>131</v>
      </c>
      <c r="AM5" s="397"/>
      <c r="AN5" s="12" t="s">
        <v>126</v>
      </c>
      <c r="AO5" s="12" t="s">
        <v>127</v>
      </c>
      <c r="AP5" s="12" t="s">
        <v>128</v>
      </c>
      <c r="AQ5" s="12" t="s">
        <v>129</v>
      </c>
      <c r="AR5" s="12" t="s">
        <v>130</v>
      </c>
      <c r="AS5" s="12" t="s">
        <v>131</v>
      </c>
      <c r="AT5" s="397"/>
      <c r="AU5" s="12" t="s">
        <v>132</v>
      </c>
      <c r="AV5" s="12" t="s">
        <v>133</v>
      </c>
      <c r="AW5" s="12" t="s">
        <v>134</v>
      </c>
      <c r="AX5" s="12" t="s">
        <v>135</v>
      </c>
      <c r="AY5" s="12" t="s">
        <v>139</v>
      </c>
      <c r="AZ5" s="12" t="s">
        <v>140</v>
      </c>
      <c r="BA5" s="12" t="s">
        <v>138</v>
      </c>
      <c r="BB5" s="12" t="s">
        <v>142</v>
      </c>
      <c r="BC5" s="12" t="s">
        <v>143</v>
      </c>
      <c r="BD5" s="12" t="s">
        <v>144</v>
      </c>
      <c r="BE5" s="12" t="s">
        <v>145</v>
      </c>
      <c r="BF5" s="397"/>
      <c r="BG5" s="394"/>
      <c r="BH5" s="394"/>
      <c r="BI5" s="397"/>
    </row>
    <row r="6" spans="2:61" ht="12.75">
      <c r="B6" s="62"/>
      <c r="C6" s="62"/>
      <c r="D6" s="62">
        <v>-1</v>
      </c>
      <c r="E6" s="62">
        <v>-2</v>
      </c>
      <c r="F6" s="62" t="s">
        <v>105</v>
      </c>
      <c r="G6" s="355">
        <v>-3</v>
      </c>
      <c r="H6" s="62" t="s">
        <v>106</v>
      </c>
      <c r="I6" s="63" t="s">
        <v>107</v>
      </c>
      <c r="J6" s="62" t="s">
        <v>108</v>
      </c>
      <c r="K6" s="62">
        <v>-4</v>
      </c>
      <c r="L6" s="62">
        <v>-5</v>
      </c>
      <c r="M6" s="65">
        <v>-6</v>
      </c>
      <c r="N6" s="62" t="s">
        <v>109</v>
      </c>
      <c r="O6" s="62">
        <v>-7</v>
      </c>
      <c r="P6" s="63" t="s">
        <v>110</v>
      </c>
      <c r="Q6" s="62" t="s">
        <v>111</v>
      </c>
      <c r="R6" s="63" t="s">
        <v>213</v>
      </c>
      <c r="S6" s="63" t="s">
        <v>112</v>
      </c>
      <c r="T6" s="62" t="s">
        <v>369</v>
      </c>
      <c r="U6" s="62">
        <v>-9</v>
      </c>
      <c r="V6" s="62" t="s">
        <v>367</v>
      </c>
      <c r="W6" s="63" t="s">
        <v>215</v>
      </c>
      <c r="X6" s="63" t="s">
        <v>373</v>
      </c>
      <c r="Y6" s="62">
        <v>-11</v>
      </c>
      <c r="Z6" s="62" t="s">
        <v>113</v>
      </c>
      <c r="AA6" s="62"/>
      <c r="AB6" s="62">
        <v>-1</v>
      </c>
      <c r="AC6" s="62">
        <v>-2</v>
      </c>
      <c r="AD6" s="62">
        <v>-3</v>
      </c>
      <c r="AE6" s="62">
        <v>-4</v>
      </c>
      <c r="AF6" s="62">
        <v>-5</v>
      </c>
      <c r="AG6" s="62">
        <v>-6</v>
      </c>
      <c r="AH6" s="62">
        <v>-7</v>
      </c>
      <c r="AI6" s="62">
        <v>-8</v>
      </c>
      <c r="AJ6" s="62">
        <v>-9</v>
      </c>
      <c r="AK6" s="62">
        <v>-10</v>
      </c>
      <c r="AL6" s="62">
        <v>-11</v>
      </c>
      <c r="AM6" s="62">
        <v>-12</v>
      </c>
      <c r="AN6" s="62">
        <v>-13</v>
      </c>
      <c r="AO6" s="62">
        <v>-14</v>
      </c>
      <c r="AP6" s="62">
        <v>-15</v>
      </c>
      <c r="AQ6" s="62">
        <v>-16</v>
      </c>
      <c r="AR6" s="62">
        <v>-17</v>
      </c>
      <c r="AS6" s="62">
        <v>-18</v>
      </c>
      <c r="AT6" s="62">
        <v>-19</v>
      </c>
      <c r="AU6" s="62">
        <v>-20</v>
      </c>
      <c r="AV6" s="62">
        <v>-21</v>
      </c>
      <c r="AW6" s="62">
        <v>-22</v>
      </c>
      <c r="AX6" s="62">
        <v>-23</v>
      </c>
      <c r="AY6" s="63" t="s">
        <v>330</v>
      </c>
      <c r="AZ6" s="63" t="s">
        <v>331</v>
      </c>
      <c r="BA6" s="63" t="s">
        <v>332</v>
      </c>
      <c r="BB6" s="62">
        <v>-27</v>
      </c>
      <c r="BC6" s="62">
        <v>-28</v>
      </c>
      <c r="BD6" s="62">
        <v>-29</v>
      </c>
      <c r="BE6" s="62">
        <v>-30</v>
      </c>
      <c r="BF6" s="62">
        <v>-31</v>
      </c>
      <c r="BG6" s="62">
        <v>-32</v>
      </c>
      <c r="BH6" s="62">
        <v>-33</v>
      </c>
      <c r="BI6" s="62" t="s">
        <v>610</v>
      </c>
    </row>
    <row r="7" spans="2:61" ht="12.75">
      <c r="B7" s="66"/>
      <c r="C7" s="68"/>
      <c r="D7" s="72"/>
      <c r="E7" s="72"/>
      <c r="F7" s="72"/>
      <c r="G7" s="72"/>
      <c r="H7" s="72"/>
      <c r="I7" s="72"/>
      <c r="J7" s="72"/>
      <c r="K7" s="72"/>
      <c r="L7" s="72"/>
      <c r="M7" s="75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98"/>
      <c r="AG7" s="72"/>
      <c r="AH7" s="98"/>
      <c r="AI7" s="72"/>
      <c r="AJ7" s="72"/>
      <c r="AK7" s="72"/>
      <c r="AL7" s="98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98"/>
      <c r="BD7" s="72"/>
      <c r="BE7" s="72"/>
      <c r="BF7" s="72"/>
      <c r="BG7" s="72"/>
      <c r="BH7" s="72"/>
      <c r="BI7" s="72"/>
    </row>
    <row r="8" spans="2:61" ht="12.75">
      <c r="B8" s="76">
        <v>1</v>
      </c>
      <c r="C8" s="77" t="s">
        <v>7</v>
      </c>
      <c r="D8" s="77">
        <f>'Table 4 Formula'!U8</f>
        <v>13719.54</v>
      </c>
      <c r="E8" s="78">
        <f aca="true" t="shared" si="0" ref="E8:E39">ROUND(BA$75*AD8/1000,0)</f>
        <v>5114451</v>
      </c>
      <c r="F8" s="78">
        <f>ROUND(E8/D8,2)</f>
        <v>372.79</v>
      </c>
      <c r="G8" s="78">
        <f aca="true" t="shared" si="1" ref="G8:G39">ROUND(BB$75*BF8,0)</f>
        <v>7354701</v>
      </c>
      <c r="H8" s="78">
        <f>ROUND(G8/D8,2)</f>
        <v>536.07</v>
      </c>
      <c r="I8" s="78">
        <v>374302</v>
      </c>
      <c r="J8" s="78">
        <f>ROUND(I8/D8,2)</f>
        <v>27.28</v>
      </c>
      <c r="K8" s="78">
        <f>I8+G8+E8</f>
        <v>12843454</v>
      </c>
      <c r="L8" s="78">
        <f>ROUND(K8/D8,2)</f>
        <v>936.14</v>
      </c>
      <c r="M8" s="102">
        <f aca="true" t="shared" si="2" ref="M8:M39">ROUND(L8/L$75,8)</f>
        <v>0.59311682</v>
      </c>
      <c r="N8" s="77">
        <f aca="true" t="shared" si="3" ref="N8:N39">RANK(M8,M$8:M$73,0)</f>
        <v>48</v>
      </c>
      <c r="O8" s="99">
        <f aca="true" t="shared" si="4" ref="O8:O39">BA8</f>
        <v>34.331</v>
      </c>
      <c r="P8" s="78">
        <f aca="true" t="shared" si="5" ref="P8:P39">AX8</f>
        <v>4320502</v>
      </c>
      <c r="Q8" s="78">
        <f>ROUND(P8/D8,2)</f>
        <v>314.92</v>
      </c>
      <c r="R8" s="82">
        <f aca="true" t="shared" si="6" ref="R8:R39">BB8</f>
        <v>0.01</v>
      </c>
      <c r="S8" s="78">
        <f aca="true" t="shared" si="7" ref="S8:S39">BE8</f>
        <v>4251272</v>
      </c>
      <c r="T8" s="78">
        <f>S8/D8</f>
        <v>309.86986444151916</v>
      </c>
      <c r="U8" s="78">
        <f>I8</f>
        <v>374302</v>
      </c>
      <c r="V8" s="77">
        <f>ROUND(U8/D8,2)</f>
        <v>27.28</v>
      </c>
      <c r="W8" s="78">
        <f>P8+S8+U8</f>
        <v>8946076</v>
      </c>
      <c r="X8" s="78">
        <f>ROUND(W8/D8,2)</f>
        <v>652.07</v>
      </c>
      <c r="Y8" s="80">
        <f>ROUND(X8/L8,6)</f>
        <v>0.696552</v>
      </c>
      <c r="Z8" s="77">
        <f aca="true" t="shared" si="8" ref="Z8:Z39">RANK(Y8,Y$8:Y$73,0)</f>
        <v>56</v>
      </c>
      <c r="AA8" s="77"/>
      <c r="AB8" s="78">
        <v>174291900</v>
      </c>
      <c r="AC8" s="78">
        <v>48444180</v>
      </c>
      <c r="AD8" s="78">
        <f>AB8-AC8</f>
        <v>125847720</v>
      </c>
      <c r="AE8" s="99">
        <v>5.13</v>
      </c>
      <c r="AF8" s="78">
        <v>613401</v>
      </c>
      <c r="AG8" s="99">
        <v>20.89</v>
      </c>
      <c r="AH8" s="78">
        <v>2497846</v>
      </c>
      <c r="AI8" s="173">
        <v>0</v>
      </c>
      <c r="AJ8" s="173">
        <v>12.29</v>
      </c>
      <c r="AK8" s="77">
        <v>1</v>
      </c>
      <c r="AL8" s="78">
        <v>98845</v>
      </c>
      <c r="AM8" s="78">
        <f>AF8+AH8+AL8</f>
        <v>3210092</v>
      </c>
      <c r="AN8" s="175">
        <v>0</v>
      </c>
      <c r="AO8" s="78">
        <v>0</v>
      </c>
      <c r="AP8" s="100">
        <v>0</v>
      </c>
      <c r="AQ8" s="173">
        <v>37</v>
      </c>
      <c r="AR8" s="77">
        <v>5</v>
      </c>
      <c r="AS8" s="78">
        <v>1110410</v>
      </c>
      <c r="AT8" s="78">
        <f>AO8+AS8</f>
        <v>1110410</v>
      </c>
      <c r="AU8" s="100">
        <f>AE8+AG8+AN8</f>
        <v>26.02</v>
      </c>
      <c r="AV8" s="78">
        <f>AF8+AH8+AO8</f>
        <v>3111247</v>
      </c>
      <c r="AW8" s="78">
        <f>AL8+AS8</f>
        <v>1209255</v>
      </c>
      <c r="AX8" s="78">
        <f>AT8+AM8</f>
        <v>4320502</v>
      </c>
      <c r="AY8" s="101">
        <f>ROUND((AT8/AD8)*1000,3)</f>
        <v>8.823</v>
      </c>
      <c r="AZ8" s="101">
        <f>ROUND((AM8/AD8)*1000,3)</f>
        <v>25.508</v>
      </c>
      <c r="BA8" s="101">
        <f>ROUND((AX8/AD8)*1000,3)</f>
        <v>34.331</v>
      </c>
      <c r="BB8" s="82">
        <v>0.01</v>
      </c>
      <c r="BC8" s="78">
        <v>4251272</v>
      </c>
      <c r="BD8" s="78">
        <v>0</v>
      </c>
      <c r="BE8" s="78">
        <f>SUM(BC8+BD8)</f>
        <v>4251272</v>
      </c>
      <c r="BF8" s="78">
        <f>ROUND(BE8/BB8,0)</f>
        <v>425127200</v>
      </c>
      <c r="BG8" s="82">
        <f>ROUND(BC8/BF8,4)</f>
        <v>0.01</v>
      </c>
      <c r="BH8" s="82">
        <f>ROUND(BD8/BF8,4)</f>
        <v>0</v>
      </c>
      <c r="BI8" s="78">
        <f>AM8+AT8+BC8+BD8+I8</f>
        <v>8946076</v>
      </c>
    </row>
    <row r="9" spans="2:61" ht="12.75">
      <c r="B9" s="76">
        <v>2</v>
      </c>
      <c r="C9" s="77" t="s">
        <v>8</v>
      </c>
      <c r="D9" s="77">
        <f>'Table 4 Formula'!U9</f>
        <v>5864.77</v>
      </c>
      <c r="E9" s="78">
        <f t="shared" si="0"/>
        <v>2128435</v>
      </c>
      <c r="F9" s="78">
        <f aca="true" t="shared" si="9" ref="F9:F72">ROUND(E9/D9,2)</f>
        <v>362.92</v>
      </c>
      <c r="G9" s="78">
        <f t="shared" si="1"/>
        <v>3014399</v>
      </c>
      <c r="H9" s="78">
        <f aca="true" t="shared" si="10" ref="H9:H72">ROUND(G9/D9,2)</f>
        <v>513.98</v>
      </c>
      <c r="I9" s="78">
        <v>99277</v>
      </c>
      <c r="J9" s="78">
        <f aca="true" t="shared" si="11" ref="J9:J72">ROUND(I9/D9,2)</f>
        <v>16.93</v>
      </c>
      <c r="K9" s="78">
        <f aca="true" t="shared" si="12" ref="K9:K72">I9+G9+E9</f>
        <v>5242111</v>
      </c>
      <c r="L9" s="78">
        <f aca="true" t="shared" si="13" ref="L9:L72">ROUND(K9/D9,2)</f>
        <v>893.83</v>
      </c>
      <c r="M9" s="102">
        <f t="shared" si="2"/>
        <v>0.56631017</v>
      </c>
      <c r="N9" s="77">
        <f t="shared" si="3"/>
        <v>51</v>
      </c>
      <c r="O9" s="99">
        <f t="shared" si="4"/>
        <v>49.982</v>
      </c>
      <c r="P9" s="78">
        <f t="shared" si="5"/>
        <v>2617694</v>
      </c>
      <c r="Q9" s="78">
        <f aca="true" t="shared" si="14" ref="Q9:Q72">ROUND(P9/D9,2)</f>
        <v>446.34</v>
      </c>
      <c r="R9" s="82">
        <f t="shared" si="6"/>
        <v>0.02</v>
      </c>
      <c r="S9" s="78">
        <f t="shared" si="7"/>
        <v>3484854</v>
      </c>
      <c r="T9" s="78">
        <f aca="true" t="shared" si="15" ref="T9:T72">S9/D9</f>
        <v>594.2013071271336</v>
      </c>
      <c r="U9" s="78">
        <f aca="true" t="shared" si="16" ref="U9:U72">I9</f>
        <v>99277</v>
      </c>
      <c r="V9" s="77">
        <f aca="true" t="shared" si="17" ref="V9:V72">ROUND(U9/D9,2)</f>
        <v>16.93</v>
      </c>
      <c r="W9" s="78">
        <f aca="true" t="shared" si="18" ref="W9:W72">P9+S9+U9</f>
        <v>6201825</v>
      </c>
      <c r="X9" s="78">
        <f aca="true" t="shared" si="19" ref="X9:X72">ROUND(W9/D9,2)</f>
        <v>1057.47</v>
      </c>
      <c r="Y9" s="80">
        <f aca="true" t="shared" si="20" ref="Y9:Y72">ROUND(X9/L9,6)</f>
        <v>1.183077</v>
      </c>
      <c r="Z9" s="77">
        <f t="shared" si="8"/>
        <v>10</v>
      </c>
      <c r="AA9" s="77"/>
      <c r="AB9" s="78">
        <v>71213800</v>
      </c>
      <c r="AC9" s="78">
        <v>18840900</v>
      </c>
      <c r="AD9" s="78">
        <f aca="true" t="shared" si="21" ref="AD9:AD72">AB9-AC9</f>
        <v>52372900</v>
      </c>
      <c r="AE9" s="99">
        <v>4.26</v>
      </c>
      <c r="AF9" s="78">
        <v>219918</v>
      </c>
      <c r="AG9" s="99">
        <v>5.13</v>
      </c>
      <c r="AH9" s="78">
        <v>264831</v>
      </c>
      <c r="AI9" s="173">
        <v>6.8</v>
      </c>
      <c r="AJ9" s="173">
        <v>68.22</v>
      </c>
      <c r="AK9" s="77">
        <v>6</v>
      </c>
      <c r="AL9" s="78">
        <v>926438</v>
      </c>
      <c r="AM9" s="78">
        <f aca="true" t="shared" si="22" ref="AM9:AM72">AF9+AH9+AL9</f>
        <v>1411187</v>
      </c>
      <c r="AN9" s="175">
        <v>0</v>
      </c>
      <c r="AO9" s="78">
        <v>0</v>
      </c>
      <c r="AP9" s="173">
        <v>9.5</v>
      </c>
      <c r="AQ9" s="173">
        <v>39.5</v>
      </c>
      <c r="AR9" s="77">
        <v>6</v>
      </c>
      <c r="AS9" s="78">
        <v>1206507</v>
      </c>
      <c r="AT9" s="78">
        <f aca="true" t="shared" si="23" ref="AT9:AT72">AO9+AS9</f>
        <v>1206507</v>
      </c>
      <c r="AU9" s="100">
        <f aca="true" t="shared" si="24" ref="AU9:AV72">AE9+AG9+AN9</f>
        <v>9.39</v>
      </c>
      <c r="AV9" s="78">
        <f t="shared" si="24"/>
        <v>484749</v>
      </c>
      <c r="AW9" s="78">
        <f aca="true" t="shared" si="25" ref="AW9:AW72">AL9+AS9</f>
        <v>2132945</v>
      </c>
      <c r="AX9" s="78">
        <f aca="true" t="shared" si="26" ref="AX9:AX72">AT9+AM9</f>
        <v>2617694</v>
      </c>
      <c r="AY9" s="101">
        <f aca="true" t="shared" si="27" ref="AY9:AY72">ROUND((AT9/AD9)*1000,3)</f>
        <v>23.037</v>
      </c>
      <c r="AZ9" s="101">
        <f aca="true" t="shared" si="28" ref="AZ9:AZ72">ROUND((AM9/AD9)*1000,3)</f>
        <v>26.945</v>
      </c>
      <c r="BA9" s="101">
        <f aca="true" t="shared" si="29" ref="BA9:BA72">ROUND((AX9/AD9)*1000,3)</f>
        <v>49.982</v>
      </c>
      <c r="BB9" s="82">
        <v>0.02</v>
      </c>
      <c r="BC9" s="78">
        <v>3484854</v>
      </c>
      <c r="BD9" s="78">
        <v>0</v>
      </c>
      <c r="BE9" s="78">
        <f aca="true" t="shared" si="30" ref="BE9:BE72">SUM(BC9+BD9)</f>
        <v>3484854</v>
      </c>
      <c r="BF9" s="78">
        <f aca="true" t="shared" si="31" ref="BF9:BF72">ROUND(BE9/BB9,0)</f>
        <v>174242700</v>
      </c>
      <c r="BG9" s="82">
        <f aca="true" t="shared" si="32" ref="BG9:BG72">ROUND(BC9/BF9,4)</f>
        <v>0.02</v>
      </c>
      <c r="BH9" s="82">
        <f aca="true" t="shared" si="33" ref="BH9:BH72">ROUND(BD9/BF9,4)</f>
        <v>0</v>
      </c>
      <c r="BI9" s="78">
        <f aca="true" t="shared" si="34" ref="BI9:BI72">AM9+AT9+BC9+BD9+I9</f>
        <v>6201825</v>
      </c>
    </row>
    <row r="10" spans="2:61" ht="12.75">
      <c r="B10" s="76">
        <v>3</v>
      </c>
      <c r="C10" s="77" t="s">
        <v>9</v>
      </c>
      <c r="D10" s="77">
        <f>'Table 4 Formula'!U10</f>
        <v>19215.68</v>
      </c>
      <c r="E10" s="78">
        <f t="shared" si="0"/>
        <v>14148656</v>
      </c>
      <c r="F10" s="78">
        <f t="shared" si="9"/>
        <v>736.31</v>
      </c>
      <c r="G10" s="78">
        <f t="shared" si="1"/>
        <v>28877489</v>
      </c>
      <c r="H10" s="78">
        <f t="shared" si="10"/>
        <v>1502.81</v>
      </c>
      <c r="I10" s="78">
        <v>182892</v>
      </c>
      <c r="J10" s="78">
        <f t="shared" si="11"/>
        <v>9.52</v>
      </c>
      <c r="K10" s="78">
        <f t="shared" si="12"/>
        <v>43209037</v>
      </c>
      <c r="L10" s="78">
        <f t="shared" si="13"/>
        <v>2248.63</v>
      </c>
      <c r="M10" s="102">
        <f t="shared" si="2"/>
        <v>1.42468036</v>
      </c>
      <c r="N10" s="77">
        <f t="shared" si="3"/>
        <v>8</v>
      </c>
      <c r="O10" s="99">
        <f t="shared" si="4"/>
        <v>52.347</v>
      </c>
      <c r="P10" s="78">
        <f t="shared" si="5"/>
        <v>18224308</v>
      </c>
      <c r="Q10" s="78">
        <f t="shared" si="14"/>
        <v>948.41</v>
      </c>
      <c r="R10" s="82">
        <f t="shared" si="6"/>
        <v>0.02</v>
      </c>
      <c r="S10" s="78">
        <f t="shared" si="7"/>
        <v>33384380</v>
      </c>
      <c r="T10" s="78">
        <f t="shared" si="15"/>
        <v>1737.3509550533731</v>
      </c>
      <c r="U10" s="78">
        <f t="shared" si="16"/>
        <v>182892</v>
      </c>
      <c r="V10" s="77">
        <f t="shared" si="17"/>
        <v>9.52</v>
      </c>
      <c r="W10" s="78">
        <f t="shared" si="18"/>
        <v>51791580</v>
      </c>
      <c r="X10" s="78">
        <f t="shared" si="19"/>
        <v>2695.28</v>
      </c>
      <c r="Y10" s="80">
        <f t="shared" si="20"/>
        <v>1.198632</v>
      </c>
      <c r="Z10" s="77">
        <f t="shared" si="8"/>
        <v>9</v>
      </c>
      <c r="AA10" s="77"/>
      <c r="AB10" s="78">
        <v>440432570</v>
      </c>
      <c r="AC10" s="78">
        <v>92286510</v>
      </c>
      <c r="AD10" s="78">
        <f t="shared" si="21"/>
        <v>348146060</v>
      </c>
      <c r="AE10" s="99">
        <v>3.61</v>
      </c>
      <c r="AF10" s="78">
        <v>1243770</v>
      </c>
      <c r="AG10" s="99">
        <v>34.15</v>
      </c>
      <c r="AH10" s="78">
        <v>11763648</v>
      </c>
      <c r="AI10" s="173">
        <v>0</v>
      </c>
      <c r="AJ10" s="173">
        <v>0</v>
      </c>
      <c r="AK10" s="77">
        <v>0</v>
      </c>
      <c r="AL10" s="78">
        <v>0</v>
      </c>
      <c r="AM10" s="78">
        <f t="shared" si="22"/>
        <v>13007418</v>
      </c>
      <c r="AN10" s="173">
        <v>15.08</v>
      </c>
      <c r="AO10" s="78">
        <v>5216890</v>
      </c>
      <c r="AP10" s="100">
        <v>0</v>
      </c>
      <c r="AQ10" s="100">
        <v>0</v>
      </c>
      <c r="AR10" s="77">
        <v>0</v>
      </c>
      <c r="AS10" s="78">
        <v>0</v>
      </c>
      <c r="AT10" s="78">
        <f t="shared" si="23"/>
        <v>5216890</v>
      </c>
      <c r="AU10" s="100">
        <f t="shared" si="24"/>
        <v>52.839999999999996</v>
      </c>
      <c r="AV10" s="78">
        <f t="shared" si="24"/>
        <v>18224308</v>
      </c>
      <c r="AW10" s="78">
        <f t="shared" si="25"/>
        <v>0</v>
      </c>
      <c r="AX10" s="78">
        <f t="shared" si="26"/>
        <v>18224308</v>
      </c>
      <c r="AY10" s="101">
        <f t="shared" si="27"/>
        <v>14.985</v>
      </c>
      <c r="AZ10" s="101">
        <f t="shared" si="28"/>
        <v>37.362</v>
      </c>
      <c r="BA10" s="101">
        <f t="shared" si="29"/>
        <v>52.347</v>
      </c>
      <c r="BB10" s="82">
        <v>0.02</v>
      </c>
      <c r="BC10" s="78">
        <v>33384380</v>
      </c>
      <c r="BD10" s="78">
        <v>0</v>
      </c>
      <c r="BE10" s="78">
        <f t="shared" si="30"/>
        <v>33384380</v>
      </c>
      <c r="BF10" s="78">
        <f t="shared" si="31"/>
        <v>1669219000</v>
      </c>
      <c r="BG10" s="82">
        <f t="shared" si="32"/>
        <v>0.02</v>
      </c>
      <c r="BH10" s="82">
        <f t="shared" si="33"/>
        <v>0</v>
      </c>
      <c r="BI10" s="78">
        <f t="shared" si="34"/>
        <v>51791580</v>
      </c>
    </row>
    <row r="11" spans="2:61" ht="12.75">
      <c r="B11" s="76">
        <v>4</v>
      </c>
      <c r="C11" s="77" t="s">
        <v>10</v>
      </c>
      <c r="D11" s="77">
        <f>'Table 4 Formula'!U11</f>
        <v>6444.63</v>
      </c>
      <c r="E11" s="78">
        <f t="shared" si="0"/>
        <v>2299427</v>
      </c>
      <c r="F11" s="78">
        <f t="shared" si="9"/>
        <v>356.8</v>
      </c>
      <c r="G11" s="78">
        <f t="shared" si="1"/>
        <v>2784467</v>
      </c>
      <c r="H11" s="78">
        <f t="shared" si="10"/>
        <v>432.06</v>
      </c>
      <c r="I11" s="78">
        <v>149165</v>
      </c>
      <c r="J11" s="78">
        <f t="shared" si="11"/>
        <v>23.15</v>
      </c>
      <c r="K11" s="78">
        <f t="shared" si="12"/>
        <v>5233059</v>
      </c>
      <c r="L11" s="78">
        <f t="shared" si="13"/>
        <v>812</v>
      </c>
      <c r="M11" s="102">
        <f t="shared" si="2"/>
        <v>0.51446456</v>
      </c>
      <c r="N11" s="77">
        <f t="shared" si="3"/>
        <v>55</v>
      </c>
      <c r="O11" s="99">
        <f t="shared" si="4"/>
        <v>43.755</v>
      </c>
      <c r="P11" s="78">
        <f t="shared" si="5"/>
        <v>2475697</v>
      </c>
      <c r="Q11" s="78">
        <f t="shared" si="14"/>
        <v>384.15</v>
      </c>
      <c r="R11" s="82">
        <f t="shared" si="6"/>
        <v>0.025</v>
      </c>
      <c r="S11" s="78">
        <f t="shared" si="7"/>
        <v>4023796</v>
      </c>
      <c r="T11" s="78">
        <f t="shared" si="15"/>
        <v>624.3641605491704</v>
      </c>
      <c r="U11" s="78">
        <f t="shared" si="16"/>
        <v>149165</v>
      </c>
      <c r="V11" s="77">
        <f t="shared" si="17"/>
        <v>23.15</v>
      </c>
      <c r="W11" s="78">
        <f t="shared" si="18"/>
        <v>6648658</v>
      </c>
      <c r="X11" s="78">
        <f t="shared" si="19"/>
        <v>1031.66</v>
      </c>
      <c r="Y11" s="80">
        <f t="shared" si="20"/>
        <v>1.270517</v>
      </c>
      <c r="Z11" s="77">
        <f t="shared" si="8"/>
        <v>6</v>
      </c>
      <c r="AA11" s="77"/>
      <c r="AB11" s="78">
        <v>78403881</v>
      </c>
      <c r="AC11" s="78">
        <v>21823501</v>
      </c>
      <c r="AD11" s="78">
        <f t="shared" si="21"/>
        <v>56580380</v>
      </c>
      <c r="AE11" s="99">
        <v>5.21</v>
      </c>
      <c r="AF11" s="78">
        <v>634177</v>
      </c>
      <c r="AG11" s="99">
        <v>27.02</v>
      </c>
      <c r="AH11" s="78">
        <v>1169841</v>
      </c>
      <c r="AI11" s="173">
        <v>0</v>
      </c>
      <c r="AJ11" s="173">
        <v>0</v>
      </c>
      <c r="AK11" s="77">
        <v>0</v>
      </c>
      <c r="AL11" s="78">
        <v>0</v>
      </c>
      <c r="AM11" s="78">
        <f t="shared" si="22"/>
        <v>1804018</v>
      </c>
      <c r="AN11" s="173">
        <v>12</v>
      </c>
      <c r="AO11" s="78">
        <v>671679</v>
      </c>
      <c r="AP11" s="100">
        <v>0</v>
      </c>
      <c r="AQ11" s="100">
        <v>0</v>
      </c>
      <c r="AR11" s="77">
        <v>0</v>
      </c>
      <c r="AS11" s="78">
        <v>0</v>
      </c>
      <c r="AT11" s="78">
        <f t="shared" si="23"/>
        <v>671679</v>
      </c>
      <c r="AU11" s="100">
        <f t="shared" si="24"/>
        <v>44.23</v>
      </c>
      <c r="AV11" s="78">
        <f t="shared" si="24"/>
        <v>2475697</v>
      </c>
      <c r="AW11" s="78">
        <f t="shared" si="25"/>
        <v>0</v>
      </c>
      <c r="AX11" s="78">
        <f t="shared" si="26"/>
        <v>2475697</v>
      </c>
      <c r="AY11" s="101">
        <f t="shared" si="27"/>
        <v>11.871</v>
      </c>
      <c r="AZ11" s="101">
        <f t="shared" si="28"/>
        <v>31.884</v>
      </c>
      <c r="BA11" s="101">
        <f t="shared" si="29"/>
        <v>43.755</v>
      </c>
      <c r="BB11" s="82">
        <v>0.025</v>
      </c>
      <c r="BC11" s="78">
        <v>3219048</v>
      </c>
      <c r="BD11" s="78">
        <v>804748</v>
      </c>
      <c r="BE11" s="78">
        <f t="shared" si="30"/>
        <v>4023796</v>
      </c>
      <c r="BF11" s="78">
        <f t="shared" si="31"/>
        <v>160951840</v>
      </c>
      <c r="BG11" s="82">
        <f t="shared" si="32"/>
        <v>0.02</v>
      </c>
      <c r="BH11" s="82">
        <f t="shared" si="33"/>
        <v>0.005</v>
      </c>
      <c r="BI11" s="78">
        <f t="shared" si="34"/>
        <v>6648658</v>
      </c>
    </row>
    <row r="12" spans="2:61" ht="12.75">
      <c r="B12" s="115">
        <v>5</v>
      </c>
      <c r="C12" s="116" t="s">
        <v>11</v>
      </c>
      <c r="D12" s="116">
        <f>'Table 4 Formula'!U12</f>
        <v>9274.279999999999</v>
      </c>
      <c r="E12" s="117">
        <f t="shared" si="0"/>
        <v>2431330</v>
      </c>
      <c r="F12" s="117">
        <f t="shared" si="9"/>
        <v>262.16</v>
      </c>
      <c r="G12" s="117">
        <f t="shared" si="1"/>
        <v>4771128</v>
      </c>
      <c r="H12" s="117">
        <f t="shared" si="10"/>
        <v>514.45</v>
      </c>
      <c r="I12" s="117">
        <v>327841</v>
      </c>
      <c r="J12" s="117">
        <f t="shared" si="11"/>
        <v>35.35</v>
      </c>
      <c r="K12" s="117">
        <f t="shared" si="12"/>
        <v>7530299</v>
      </c>
      <c r="L12" s="117">
        <f t="shared" si="13"/>
        <v>811.96</v>
      </c>
      <c r="M12" s="128">
        <f t="shared" si="2"/>
        <v>0.51443922</v>
      </c>
      <c r="N12" s="116">
        <f t="shared" si="3"/>
        <v>56</v>
      </c>
      <c r="O12" s="125">
        <f t="shared" si="4"/>
        <v>23.143</v>
      </c>
      <c r="P12" s="117">
        <f t="shared" si="5"/>
        <v>1384569</v>
      </c>
      <c r="Q12" s="117">
        <f t="shared" si="14"/>
        <v>149.29</v>
      </c>
      <c r="R12" s="122">
        <f t="shared" si="6"/>
        <v>0.015</v>
      </c>
      <c r="S12" s="117">
        <f t="shared" si="7"/>
        <v>4136816</v>
      </c>
      <c r="T12" s="117">
        <f t="shared" si="15"/>
        <v>446.05252375386556</v>
      </c>
      <c r="U12" s="117">
        <f t="shared" si="16"/>
        <v>327841</v>
      </c>
      <c r="V12" s="116">
        <f t="shared" si="17"/>
        <v>35.35</v>
      </c>
      <c r="W12" s="117">
        <f t="shared" si="18"/>
        <v>5849226</v>
      </c>
      <c r="X12" s="117">
        <f t="shared" si="19"/>
        <v>630.69</v>
      </c>
      <c r="Y12" s="120">
        <f t="shared" si="20"/>
        <v>0.77675</v>
      </c>
      <c r="Z12" s="116">
        <f t="shared" si="8"/>
        <v>51</v>
      </c>
      <c r="AA12" s="116"/>
      <c r="AB12" s="117">
        <v>99678520</v>
      </c>
      <c r="AC12" s="117">
        <v>39852480</v>
      </c>
      <c r="AD12" s="117">
        <f t="shared" si="21"/>
        <v>59826040</v>
      </c>
      <c r="AE12" s="125">
        <v>3.46</v>
      </c>
      <c r="AF12" s="117">
        <v>197304</v>
      </c>
      <c r="AG12" s="125">
        <v>9.5</v>
      </c>
      <c r="AH12" s="117">
        <v>542132</v>
      </c>
      <c r="AI12" s="174">
        <v>0</v>
      </c>
      <c r="AJ12" s="174">
        <v>0</v>
      </c>
      <c r="AK12" s="116">
        <v>0</v>
      </c>
      <c r="AL12" s="117">
        <v>0</v>
      </c>
      <c r="AM12" s="117">
        <f t="shared" si="22"/>
        <v>739436</v>
      </c>
      <c r="AN12" s="176">
        <v>0</v>
      </c>
      <c r="AO12" s="117">
        <v>0</v>
      </c>
      <c r="AP12" s="174">
        <v>7</v>
      </c>
      <c r="AQ12" s="174">
        <v>25</v>
      </c>
      <c r="AR12" s="116">
        <v>9</v>
      </c>
      <c r="AS12" s="117">
        <v>645133</v>
      </c>
      <c r="AT12" s="117">
        <f t="shared" si="23"/>
        <v>645133</v>
      </c>
      <c r="AU12" s="126">
        <f t="shared" si="24"/>
        <v>12.96</v>
      </c>
      <c r="AV12" s="117">
        <f t="shared" si="24"/>
        <v>739436</v>
      </c>
      <c r="AW12" s="117">
        <f t="shared" si="25"/>
        <v>645133</v>
      </c>
      <c r="AX12" s="117">
        <f t="shared" si="26"/>
        <v>1384569</v>
      </c>
      <c r="AY12" s="127">
        <f t="shared" si="27"/>
        <v>10.783</v>
      </c>
      <c r="AZ12" s="127">
        <f t="shared" si="28"/>
        <v>12.36</v>
      </c>
      <c r="BA12" s="127">
        <f t="shared" si="29"/>
        <v>23.143</v>
      </c>
      <c r="BB12" s="122">
        <v>0.015</v>
      </c>
      <c r="BC12" s="117">
        <v>3759301</v>
      </c>
      <c r="BD12" s="117">
        <v>377515</v>
      </c>
      <c r="BE12" s="117">
        <f t="shared" si="30"/>
        <v>4136816</v>
      </c>
      <c r="BF12" s="117">
        <f t="shared" si="31"/>
        <v>275787733</v>
      </c>
      <c r="BG12" s="122">
        <f t="shared" si="32"/>
        <v>0.0136</v>
      </c>
      <c r="BH12" s="122">
        <f t="shared" si="33"/>
        <v>0.0014</v>
      </c>
      <c r="BI12" s="117">
        <f t="shared" si="34"/>
        <v>5849226</v>
      </c>
    </row>
    <row r="13" spans="2:61" ht="12.75">
      <c r="B13" s="76">
        <v>6</v>
      </c>
      <c r="C13" s="77" t="s">
        <v>12</v>
      </c>
      <c r="D13" s="77">
        <f>'Table 4 Formula'!U13</f>
        <v>8047.17</v>
      </c>
      <c r="E13" s="78">
        <f t="shared" si="0"/>
        <v>4649543</v>
      </c>
      <c r="F13" s="78">
        <f t="shared" si="9"/>
        <v>577.79</v>
      </c>
      <c r="G13" s="78">
        <f t="shared" si="1"/>
        <v>5564836</v>
      </c>
      <c r="H13" s="78">
        <f t="shared" si="10"/>
        <v>691.53</v>
      </c>
      <c r="I13" s="78">
        <v>279302</v>
      </c>
      <c r="J13" s="78">
        <f t="shared" si="11"/>
        <v>34.71</v>
      </c>
      <c r="K13" s="78">
        <f t="shared" si="12"/>
        <v>10493681</v>
      </c>
      <c r="L13" s="78">
        <f t="shared" si="13"/>
        <v>1304.02</v>
      </c>
      <c r="M13" s="102">
        <f t="shared" si="2"/>
        <v>0.82619714</v>
      </c>
      <c r="N13" s="77">
        <f t="shared" si="3"/>
        <v>28</v>
      </c>
      <c r="O13" s="99">
        <f t="shared" si="4"/>
        <v>48.412</v>
      </c>
      <c r="P13" s="78">
        <f t="shared" si="5"/>
        <v>5538755</v>
      </c>
      <c r="Q13" s="78">
        <f t="shared" si="14"/>
        <v>688.29</v>
      </c>
      <c r="R13" s="82">
        <f t="shared" si="6"/>
        <v>0.02</v>
      </c>
      <c r="S13" s="78">
        <f t="shared" si="7"/>
        <v>6433336</v>
      </c>
      <c r="T13" s="78">
        <f t="shared" si="15"/>
        <v>799.4532239284121</v>
      </c>
      <c r="U13" s="78">
        <f t="shared" si="16"/>
        <v>279302</v>
      </c>
      <c r="V13" s="77">
        <f t="shared" si="17"/>
        <v>34.71</v>
      </c>
      <c r="W13" s="78">
        <f t="shared" si="18"/>
        <v>12251393</v>
      </c>
      <c r="X13" s="78">
        <f t="shared" si="19"/>
        <v>1522.45</v>
      </c>
      <c r="Y13" s="80">
        <f t="shared" si="20"/>
        <v>1.167505</v>
      </c>
      <c r="Z13" s="77">
        <f t="shared" si="8"/>
        <v>11</v>
      </c>
      <c r="AA13" s="77"/>
      <c r="AB13" s="78">
        <v>145444240</v>
      </c>
      <c r="AC13" s="78">
        <v>31036199</v>
      </c>
      <c r="AD13" s="78">
        <f t="shared" si="21"/>
        <v>114408041</v>
      </c>
      <c r="AE13" s="99">
        <v>4.23</v>
      </c>
      <c r="AF13" s="78">
        <v>481814</v>
      </c>
      <c r="AG13" s="99">
        <v>26.58</v>
      </c>
      <c r="AH13" s="78">
        <v>3027568</v>
      </c>
      <c r="AI13" s="173">
        <v>0</v>
      </c>
      <c r="AJ13" s="173">
        <v>0</v>
      </c>
      <c r="AK13" s="77">
        <v>0</v>
      </c>
      <c r="AL13" s="78">
        <v>0</v>
      </c>
      <c r="AM13" s="78">
        <f t="shared" si="22"/>
        <v>3509382</v>
      </c>
      <c r="AN13" s="173">
        <v>17.8</v>
      </c>
      <c r="AO13" s="78">
        <v>2029373</v>
      </c>
      <c r="AP13" s="100">
        <v>0</v>
      </c>
      <c r="AQ13" s="100">
        <v>0</v>
      </c>
      <c r="AR13" s="77">
        <v>0</v>
      </c>
      <c r="AS13" s="78">
        <v>0</v>
      </c>
      <c r="AT13" s="78">
        <f t="shared" si="23"/>
        <v>2029373</v>
      </c>
      <c r="AU13" s="100">
        <f t="shared" si="24"/>
        <v>48.61</v>
      </c>
      <c r="AV13" s="78">
        <f t="shared" si="24"/>
        <v>5538755</v>
      </c>
      <c r="AW13" s="78">
        <f t="shared" si="25"/>
        <v>0</v>
      </c>
      <c r="AX13" s="78">
        <f t="shared" si="26"/>
        <v>5538755</v>
      </c>
      <c r="AY13" s="101">
        <f t="shared" si="27"/>
        <v>17.738</v>
      </c>
      <c r="AZ13" s="101">
        <f t="shared" si="28"/>
        <v>30.674</v>
      </c>
      <c r="BA13" s="101">
        <f t="shared" si="29"/>
        <v>48.412</v>
      </c>
      <c r="BB13" s="82">
        <v>0.02</v>
      </c>
      <c r="BC13" s="78">
        <v>6433336</v>
      </c>
      <c r="BD13" s="78">
        <v>0</v>
      </c>
      <c r="BE13" s="78">
        <f t="shared" si="30"/>
        <v>6433336</v>
      </c>
      <c r="BF13" s="78">
        <f t="shared" si="31"/>
        <v>321666800</v>
      </c>
      <c r="BG13" s="82">
        <f t="shared" si="32"/>
        <v>0.02</v>
      </c>
      <c r="BH13" s="82">
        <f t="shared" si="33"/>
        <v>0</v>
      </c>
      <c r="BI13" s="78">
        <f t="shared" si="34"/>
        <v>12251393</v>
      </c>
    </row>
    <row r="14" spans="2:61" ht="12.75">
      <c r="B14" s="76">
        <v>7</v>
      </c>
      <c r="C14" s="77" t="s">
        <v>13</v>
      </c>
      <c r="D14" s="77">
        <f>'Table 4 Formula'!U14</f>
        <v>3921.83</v>
      </c>
      <c r="E14" s="78">
        <f t="shared" si="0"/>
        <v>4562079</v>
      </c>
      <c r="F14" s="78">
        <f t="shared" si="9"/>
        <v>1163.25</v>
      </c>
      <c r="G14" s="78">
        <f t="shared" si="1"/>
        <v>2229019</v>
      </c>
      <c r="H14" s="78">
        <f t="shared" si="10"/>
        <v>568.36</v>
      </c>
      <c r="I14" s="78">
        <v>139176</v>
      </c>
      <c r="J14" s="78">
        <f t="shared" si="11"/>
        <v>35.49</v>
      </c>
      <c r="K14" s="78">
        <f t="shared" si="12"/>
        <v>6930274</v>
      </c>
      <c r="L14" s="78">
        <f t="shared" si="13"/>
        <v>1767.1</v>
      </c>
      <c r="M14" s="102">
        <f t="shared" si="2"/>
        <v>1.119594</v>
      </c>
      <c r="N14" s="77">
        <f t="shared" si="3"/>
        <v>15</v>
      </c>
      <c r="O14" s="99">
        <f t="shared" si="4"/>
        <v>41.506</v>
      </c>
      <c r="P14" s="78">
        <f t="shared" si="5"/>
        <v>4659243</v>
      </c>
      <c r="Q14" s="78">
        <f t="shared" si="14"/>
        <v>1188.03</v>
      </c>
      <c r="R14" s="82">
        <f t="shared" si="6"/>
        <v>0.02</v>
      </c>
      <c r="S14" s="78">
        <f t="shared" si="7"/>
        <v>2576901</v>
      </c>
      <c r="T14" s="78">
        <f t="shared" si="15"/>
        <v>657.0659615536624</v>
      </c>
      <c r="U14" s="78">
        <f t="shared" si="16"/>
        <v>139176</v>
      </c>
      <c r="V14" s="77">
        <f t="shared" si="17"/>
        <v>35.49</v>
      </c>
      <c r="W14" s="78">
        <f t="shared" si="18"/>
        <v>7375320</v>
      </c>
      <c r="X14" s="78">
        <f t="shared" si="19"/>
        <v>1880.58</v>
      </c>
      <c r="Y14" s="80">
        <f t="shared" si="20"/>
        <v>1.064218</v>
      </c>
      <c r="Z14" s="77">
        <f t="shared" si="8"/>
        <v>23</v>
      </c>
      <c r="AA14" s="77"/>
      <c r="AB14" s="78">
        <v>123423760</v>
      </c>
      <c r="AC14" s="78">
        <v>11167890</v>
      </c>
      <c r="AD14" s="78">
        <f t="shared" si="21"/>
        <v>112255870</v>
      </c>
      <c r="AE14" s="99">
        <v>6.03</v>
      </c>
      <c r="AF14" s="78">
        <v>666607</v>
      </c>
      <c r="AG14" s="99">
        <v>26.36</v>
      </c>
      <c r="AH14" s="78">
        <v>2914004</v>
      </c>
      <c r="AI14" s="173">
        <v>0</v>
      </c>
      <c r="AJ14" s="173">
        <v>0</v>
      </c>
      <c r="AK14" s="77">
        <v>0</v>
      </c>
      <c r="AL14" s="78">
        <v>0</v>
      </c>
      <c r="AM14" s="78">
        <f t="shared" si="22"/>
        <v>3580611</v>
      </c>
      <c r="AN14" s="175">
        <v>0</v>
      </c>
      <c r="AO14" s="78">
        <v>0</v>
      </c>
      <c r="AP14" s="100">
        <v>0</v>
      </c>
      <c r="AQ14" s="100">
        <v>0</v>
      </c>
      <c r="AR14" s="77">
        <v>0</v>
      </c>
      <c r="AS14" s="78">
        <v>1078632</v>
      </c>
      <c r="AT14" s="78">
        <f t="shared" si="23"/>
        <v>1078632</v>
      </c>
      <c r="AU14" s="100">
        <f t="shared" si="24"/>
        <v>32.39</v>
      </c>
      <c r="AV14" s="78">
        <f t="shared" si="24"/>
        <v>3580611</v>
      </c>
      <c r="AW14" s="78">
        <f t="shared" si="25"/>
        <v>1078632</v>
      </c>
      <c r="AX14" s="78">
        <f t="shared" si="26"/>
        <v>4659243</v>
      </c>
      <c r="AY14" s="101">
        <f t="shared" si="27"/>
        <v>9.609</v>
      </c>
      <c r="AZ14" s="101">
        <f t="shared" si="28"/>
        <v>31.897</v>
      </c>
      <c r="BA14" s="101">
        <f t="shared" si="29"/>
        <v>41.506</v>
      </c>
      <c r="BB14" s="82">
        <v>0.02</v>
      </c>
      <c r="BC14" s="78">
        <v>2576901</v>
      </c>
      <c r="BD14" s="78">
        <v>0</v>
      </c>
      <c r="BE14" s="78">
        <f t="shared" si="30"/>
        <v>2576901</v>
      </c>
      <c r="BF14" s="78">
        <f t="shared" si="31"/>
        <v>128845050</v>
      </c>
      <c r="BG14" s="82">
        <f t="shared" si="32"/>
        <v>0.02</v>
      </c>
      <c r="BH14" s="82">
        <f t="shared" si="33"/>
        <v>0</v>
      </c>
      <c r="BI14" s="78">
        <f t="shared" si="34"/>
        <v>7375320</v>
      </c>
    </row>
    <row r="15" spans="2:61" ht="12.75">
      <c r="B15" s="76">
        <v>8</v>
      </c>
      <c r="C15" s="77" t="s">
        <v>14</v>
      </c>
      <c r="D15" s="77">
        <f>'Table 4 Formula'!U15</f>
        <v>23519.91</v>
      </c>
      <c r="E15" s="78">
        <f t="shared" si="0"/>
        <v>10944081</v>
      </c>
      <c r="F15" s="78">
        <f t="shared" si="9"/>
        <v>465.31</v>
      </c>
      <c r="G15" s="78">
        <f t="shared" si="1"/>
        <v>21532523</v>
      </c>
      <c r="H15" s="78">
        <f t="shared" si="10"/>
        <v>915.5</v>
      </c>
      <c r="I15" s="78">
        <v>671371</v>
      </c>
      <c r="J15" s="78">
        <f t="shared" si="11"/>
        <v>28.54</v>
      </c>
      <c r="K15" s="78">
        <f t="shared" si="12"/>
        <v>33147975</v>
      </c>
      <c r="L15" s="78">
        <f t="shared" si="13"/>
        <v>1409.36</v>
      </c>
      <c r="M15" s="102">
        <f t="shared" si="2"/>
        <v>0.89293815</v>
      </c>
      <c r="N15" s="77">
        <f t="shared" si="3"/>
        <v>23</v>
      </c>
      <c r="O15" s="99">
        <f t="shared" si="4"/>
        <v>56.668</v>
      </c>
      <c r="P15" s="78">
        <f t="shared" si="5"/>
        <v>15260265</v>
      </c>
      <c r="Q15" s="78">
        <f t="shared" si="14"/>
        <v>648.82</v>
      </c>
      <c r="R15" s="82">
        <f t="shared" si="6"/>
        <v>0.015</v>
      </c>
      <c r="S15" s="78">
        <f t="shared" si="7"/>
        <v>18669818</v>
      </c>
      <c r="T15" s="78">
        <f t="shared" si="15"/>
        <v>793.7878163649435</v>
      </c>
      <c r="U15" s="78">
        <f t="shared" si="16"/>
        <v>671371</v>
      </c>
      <c r="V15" s="77">
        <f t="shared" si="17"/>
        <v>28.54</v>
      </c>
      <c r="W15" s="78">
        <f t="shared" si="18"/>
        <v>34601454</v>
      </c>
      <c r="X15" s="78">
        <f t="shared" si="19"/>
        <v>1471.16</v>
      </c>
      <c r="Y15" s="80">
        <f t="shared" si="20"/>
        <v>1.04385</v>
      </c>
      <c r="Z15" s="77">
        <f t="shared" si="8"/>
        <v>28</v>
      </c>
      <c r="AA15" s="77"/>
      <c r="AB15" s="78">
        <v>384390690</v>
      </c>
      <c r="AC15" s="78">
        <v>115097350</v>
      </c>
      <c r="AD15" s="78">
        <f t="shared" si="21"/>
        <v>269293340</v>
      </c>
      <c r="AE15" s="99">
        <v>4.22</v>
      </c>
      <c r="AF15" s="78">
        <v>1048507</v>
      </c>
      <c r="AG15" s="99">
        <v>44.2</v>
      </c>
      <c r="AH15" s="78">
        <v>10994000</v>
      </c>
      <c r="AI15" s="173">
        <v>0</v>
      </c>
      <c r="AJ15" s="173">
        <v>0</v>
      </c>
      <c r="AK15" s="77">
        <v>0</v>
      </c>
      <c r="AL15" s="78">
        <v>0</v>
      </c>
      <c r="AM15" s="78">
        <f t="shared" si="22"/>
        <v>12042507</v>
      </c>
      <c r="AN15" s="173">
        <v>12.97</v>
      </c>
      <c r="AO15" s="78">
        <v>3217758</v>
      </c>
      <c r="AP15" s="100">
        <v>0</v>
      </c>
      <c r="AQ15" s="100">
        <v>0</v>
      </c>
      <c r="AR15" s="77">
        <v>0</v>
      </c>
      <c r="AS15" s="78">
        <v>0</v>
      </c>
      <c r="AT15" s="78">
        <f t="shared" si="23"/>
        <v>3217758</v>
      </c>
      <c r="AU15" s="100">
        <f t="shared" si="24"/>
        <v>61.39</v>
      </c>
      <c r="AV15" s="78">
        <f t="shared" si="24"/>
        <v>15260265</v>
      </c>
      <c r="AW15" s="78">
        <f t="shared" si="25"/>
        <v>0</v>
      </c>
      <c r="AX15" s="78">
        <f t="shared" si="26"/>
        <v>15260265</v>
      </c>
      <c r="AY15" s="101">
        <f t="shared" si="27"/>
        <v>11.949</v>
      </c>
      <c r="AZ15" s="101">
        <f t="shared" si="28"/>
        <v>44.719</v>
      </c>
      <c r="BA15" s="101">
        <f t="shared" si="29"/>
        <v>56.668</v>
      </c>
      <c r="BB15" s="82">
        <v>0.015</v>
      </c>
      <c r="BC15" s="78">
        <v>18669818</v>
      </c>
      <c r="BD15" s="78">
        <v>0</v>
      </c>
      <c r="BE15" s="78">
        <f t="shared" si="30"/>
        <v>18669818</v>
      </c>
      <c r="BF15" s="78">
        <f t="shared" si="31"/>
        <v>1244654533</v>
      </c>
      <c r="BG15" s="82">
        <f t="shared" si="32"/>
        <v>0.015</v>
      </c>
      <c r="BH15" s="82">
        <f t="shared" si="33"/>
        <v>0</v>
      </c>
      <c r="BI15" s="78">
        <f t="shared" si="34"/>
        <v>34601454</v>
      </c>
    </row>
    <row r="16" spans="2:61" ht="12.75">
      <c r="B16" s="76">
        <v>9</v>
      </c>
      <c r="C16" s="77" t="s">
        <v>15</v>
      </c>
      <c r="D16" s="77">
        <f>'Table 4 Formula'!U16</f>
        <v>60221.14</v>
      </c>
      <c r="E16" s="78">
        <f t="shared" si="0"/>
        <v>31656924</v>
      </c>
      <c r="F16" s="78">
        <f t="shared" si="9"/>
        <v>525.68</v>
      </c>
      <c r="G16" s="78">
        <f t="shared" si="1"/>
        <v>53150299</v>
      </c>
      <c r="H16" s="78">
        <f t="shared" si="10"/>
        <v>882.59</v>
      </c>
      <c r="I16" s="78">
        <v>2375473</v>
      </c>
      <c r="J16" s="78">
        <f t="shared" si="11"/>
        <v>39.45</v>
      </c>
      <c r="K16" s="78">
        <f t="shared" si="12"/>
        <v>87182696</v>
      </c>
      <c r="L16" s="78">
        <f t="shared" si="13"/>
        <v>1447.71</v>
      </c>
      <c r="M16" s="102">
        <f t="shared" si="2"/>
        <v>0.91723583</v>
      </c>
      <c r="N16" s="77">
        <f t="shared" si="3"/>
        <v>22</v>
      </c>
      <c r="O16" s="99">
        <f t="shared" si="4"/>
        <v>82.496</v>
      </c>
      <c r="P16" s="78">
        <f t="shared" si="5"/>
        <v>64261146</v>
      </c>
      <c r="Q16" s="78">
        <f t="shared" si="14"/>
        <v>1067.09</v>
      </c>
      <c r="R16" s="82">
        <f t="shared" si="6"/>
        <v>0.015</v>
      </c>
      <c r="S16" s="78">
        <f t="shared" si="7"/>
        <v>46084074</v>
      </c>
      <c r="T16" s="78">
        <f t="shared" si="15"/>
        <v>765.2474529708338</v>
      </c>
      <c r="U16" s="78">
        <f t="shared" si="16"/>
        <v>2375473</v>
      </c>
      <c r="V16" s="77">
        <f t="shared" si="17"/>
        <v>39.45</v>
      </c>
      <c r="W16" s="78">
        <f t="shared" si="18"/>
        <v>112720693</v>
      </c>
      <c r="X16" s="78">
        <f t="shared" si="19"/>
        <v>1871.78</v>
      </c>
      <c r="Y16" s="80">
        <f t="shared" si="20"/>
        <v>1.292925</v>
      </c>
      <c r="Z16" s="77">
        <f t="shared" si="8"/>
        <v>5</v>
      </c>
      <c r="AA16" s="77"/>
      <c r="AB16" s="78">
        <v>1053910790</v>
      </c>
      <c r="AC16" s="78">
        <v>274951040</v>
      </c>
      <c r="AD16" s="78">
        <f t="shared" si="21"/>
        <v>778959750</v>
      </c>
      <c r="AE16" s="99">
        <v>9.41</v>
      </c>
      <c r="AF16" s="78">
        <v>7157581</v>
      </c>
      <c r="AG16" s="99">
        <v>68.27</v>
      </c>
      <c r="AH16" s="78">
        <v>51928590</v>
      </c>
      <c r="AI16" s="173">
        <v>0</v>
      </c>
      <c r="AJ16" s="173">
        <v>0</v>
      </c>
      <c r="AK16" s="77">
        <v>0</v>
      </c>
      <c r="AL16" s="78">
        <v>0</v>
      </c>
      <c r="AM16" s="78">
        <f t="shared" si="22"/>
        <v>59086171</v>
      </c>
      <c r="AN16" s="173">
        <v>6.8</v>
      </c>
      <c r="AO16" s="78">
        <v>5174975</v>
      </c>
      <c r="AP16" s="100">
        <v>0</v>
      </c>
      <c r="AQ16" s="100">
        <v>0</v>
      </c>
      <c r="AR16" s="77">
        <v>0</v>
      </c>
      <c r="AS16" s="78">
        <v>0</v>
      </c>
      <c r="AT16" s="78">
        <f t="shared" si="23"/>
        <v>5174975</v>
      </c>
      <c r="AU16" s="100">
        <f t="shared" si="24"/>
        <v>84.47999999999999</v>
      </c>
      <c r="AV16" s="78">
        <f t="shared" si="24"/>
        <v>64261146</v>
      </c>
      <c r="AW16" s="78">
        <f t="shared" si="25"/>
        <v>0</v>
      </c>
      <c r="AX16" s="78">
        <f t="shared" si="26"/>
        <v>64261146</v>
      </c>
      <c r="AY16" s="101">
        <f t="shared" si="27"/>
        <v>6.643</v>
      </c>
      <c r="AZ16" s="101">
        <f t="shared" si="28"/>
        <v>75.853</v>
      </c>
      <c r="BA16" s="101">
        <f t="shared" si="29"/>
        <v>82.496</v>
      </c>
      <c r="BB16" s="82">
        <v>0.015</v>
      </c>
      <c r="BC16" s="78">
        <v>46084074</v>
      </c>
      <c r="BD16" s="78">
        <v>0</v>
      </c>
      <c r="BE16" s="78">
        <f t="shared" si="30"/>
        <v>46084074</v>
      </c>
      <c r="BF16" s="78">
        <f t="shared" si="31"/>
        <v>3072271600</v>
      </c>
      <c r="BG16" s="82">
        <f t="shared" si="32"/>
        <v>0.015</v>
      </c>
      <c r="BH16" s="82">
        <f t="shared" si="33"/>
        <v>0</v>
      </c>
      <c r="BI16" s="78">
        <f t="shared" si="34"/>
        <v>112720693</v>
      </c>
    </row>
    <row r="17" spans="2:61" ht="12.75">
      <c r="B17" s="115">
        <v>10</v>
      </c>
      <c r="C17" s="116" t="s">
        <v>16</v>
      </c>
      <c r="D17" s="116">
        <f>'Table 4 Formula'!U17</f>
        <v>41945.479999999996</v>
      </c>
      <c r="E17" s="117">
        <f t="shared" si="0"/>
        <v>30357476</v>
      </c>
      <c r="F17" s="117">
        <f t="shared" si="9"/>
        <v>723.74</v>
      </c>
      <c r="G17" s="117">
        <f t="shared" si="1"/>
        <v>51159190</v>
      </c>
      <c r="H17" s="117">
        <f t="shared" si="10"/>
        <v>1219.66</v>
      </c>
      <c r="I17" s="117">
        <v>1085721</v>
      </c>
      <c r="J17" s="117">
        <f t="shared" si="11"/>
        <v>25.88</v>
      </c>
      <c r="K17" s="117">
        <f t="shared" si="12"/>
        <v>82602387</v>
      </c>
      <c r="L17" s="117">
        <f t="shared" si="13"/>
        <v>1969.28</v>
      </c>
      <c r="M17" s="128">
        <f t="shared" si="2"/>
        <v>1.24769061</v>
      </c>
      <c r="N17" s="116">
        <f t="shared" si="3"/>
        <v>13</v>
      </c>
      <c r="O17" s="125">
        <f t="shared" si="4"/>
        <v>30.727</v>
      </c>
      <c r="P17" s="117">
        <f t="shared" si="5"/>
        <v>22952580</v>
      </c>
      <c r="Q17" s="117">
        <f t="shared" si="14"/>
        <v>547.2</v>
      </c>
      <c r="R17" s="122">
        <f t="shared" si="6"/>
        <v>0.02</v>
      </c>
      <c r="S17" s="117">
        <f t="shared" si="7"/>
        <v>59143572</v>
      </c>
      <c r="T17" s="117">
        <f t="shared" si="15"/>
        <v>1410.0106137776945</v>
      </c>
      <c r="U17" s="117">
        <f t="shared" si="16"/>
        <v>1085721</v>
      </c>
      <c r="V17" s="116">
        <f t="shared" si="17"/>
        <v>25.88</v>
      </c>
      <c r="W17" s="117">
        <f t="shared" si="18"/>
        <v>83181873</v>
      </c>
      <c r="X17" s="117">
        <f t="shared" si="19"/>
        <v>1983.1</v>
      </c>
      <c r="Y17" s="120">
        <f t="shared" si="20"/>
        <v>1.007018</v>
      </c>
      <c r="Z17" s="116">
        <f t="shared" si="8"/>
        <v>33</v>
      </c>
      <c r="AA17" s="116"/>
      <c r="AB17" s="117">
        <v>965461960</v>
      </c>
      <c r="AC17" s="117">
        <v>218476830</v>
      </c>
      <c r="AD17" s="117">
        <f t="shared" si="21"/>
        <v>746985130</v>
      </c>
      <c r="AE17" s="125">
        <v>5.63</v>
      </c>
      <c r="AF17" s="117">
        <v>4133902</v>
      </c>
      <c r="AG17" s="125">
        <v>13.3</v>
      </c>
      <c r="AH17" s="117">
        <v>9767153</v>
      </c>
      <c r="AI17" s="174">
        <v>0</v>
      </c>
      <c r="AJ17" s="174">
        <v>0</v>
      </c>
      <c r="AK17" s="116">
        <v>0</v>
      </c>
      <c r="AL17" s="117">
        <v>0</v>
      </c>
      <c r="AM17" s="117">
        <f t="shared" si="22"/>
        <v>13901055</v>
      </c>
      <c r="AN17" s="176">
        <v>0</v>
      </c>
      <c r="AO17" s="117">
        <v>0</v>
      </c>
      <c r="AP17" s="126">
        <v>4.75</v>
      </c>
      <c r="AQ17" s="174">
        <v>35</v>
      </c>
      <c r="AR17" s="116">
        <v>10</v>
      </c>
      <c r="AS17" s="117">
        <v>9051525</v>
      </c>
      <c r="AT17" s="117">
        <f t="shared" si="23"/>
        <v>9051525</v>
      </c>
      <c r="AU17" s="126">
        <f t="shared" si="24"/>
        <v>18.93</v>
      </c>
      <c r="AV17" s="117">
        <f t="shared" si="24"/>
        <v>13901055</v>
      </c>
      <c r="AW17" s="117">
        <f t="shared" si="25"/>
        <v>9051525</v>
      </c>
      <c r="AX17" s="117">
        <f t="shared" si="26"/>
        <v>22952580</v>
      </c>
      <c r="AY17" s="127">
        <f t="shared" si="27"/>
        <v>12.117</v>
      </c>
      <c r="AZ17" s="127">
        <f t="shared" si="28"/>
        <v>18.61</v>
      </c>
      <c r="BA17" s="127">
        <f t="shared" si="29"/>
        <v>30.727</v>
      </c>
      <c r="BB17" s="122">
        <v>0.02</v>
      </c>
      <c r="BC17" s="117">
        <v>59143572</v>
      </c>
      <c r="BD17" s="117">
        <v>0</v>
      </c>
      <c r="BE17" s="117">
        <f t="shared" si="30"/>
        <v>59143572</v>
      </c>
      <c r="BF17" s="117">
        <f t="shared" si="31"/>
        <v>2957178600</v>
      </c>
      <c r="BG17" s="122">
        <f t="shared" si="32"/>
        <v>0.02</v>
      </c>
      <c r="BH17" s="122">
        <f t="shared" si="33"/>
        <v>0</v>
      </c>
      <c r="BI17" s="117">
        <f t="shared" si="34"/>
        <v>83181873</v>
      </c>
    </row>
    <row r="18" spans="2:61" ht="12.75">
      <c r="B18" s="76">
        <v>11</v>
      </c>
      <c r="C18" s="77" t="s">
        <v>17</v>
      </c>
      <c r="D18" s="77">
        <f>'Table 4 Formula'!U18</f>
        <v>2655.35</v>
      </c>
      <c r="E18" s="78">
        <f t="shared" si="0"/>
        <v>932641</v>
      </c>
      <c r="F18" s="78">
        <f t="shared" si="9"/>
        <v>351.23</v>
      </c>
      <c r="G18" s="78">
        <f t="shared" si="1"/>
        <v>1048059</v>
      </c>
      <c r="H18" s="78">
        <f t="shared" si="10"/>
        <v>394.7</v>
      </c>
      <c r="I18" s="78">
        <v>78523</v>
      </c>
      <c r="J18" s="78">
        <f t="shared" si="11"/>
        <v>29.57</v>
      </c>
      <c r="K18" s="78">
        <f t="shared" si="12"/>
        <v>2059223</v>
      </c>
      <c r="L18" s="78">
        <f t="shared" si="13"/>
        <v>775.5</v>
      </c>
      <c r="M18" s="102">
        <f t="shared" si="2"/>
        <v>0.491339</v>
      </c>
      <c r="N18" s="77">
        <f t="shared" si="3"/>
        <v>59</v>
      </c>
      <c r="O18" s="99">
        <f t="shared" si="4"/>
        <v>46.76</v>
      </c>
      <c r="P18" s="78">
        <f t="shared" si="5"/>
        <v>1073078</v>
      </c>
      <c r="Q18" s="78">
        <f t="shared" si="14"/>
        <v>404.12</v>
      </c>
      <c r="R18" s="82">
        <f t="shared" si="6"/>
        <v>0.02</v>
      </c>
      <c r="S18" s="78">
        <f t="shared" si="7"/>
        <v>1211629</v>
      </c>
      <c r="T18" s="78">
        <f t="shared" si="15"/>
        <v>456.2972866100514</v>
      </c>
      <c r="U18" s="78">
        <f t="shared" si="16"/>
        <v>78523</v>
      </c>
      <c r="V18" s="77">
        <f t="shared" si="17"/>
        <v>29.57</v>
      </c>
      <c r="W18" s="78">
        <f t="shared" si="18"/>
        <v>2363230</v>
      </c>
      <c r="X18" s="78">
        <f t="shared" si="19"/>
        <v>889.99</v>
      </c>
      <c r="Y18" s="80">
        <f t="shared" si="20"/>
        <v>1.147634</v>
      </c>
      <c r="Z18" s="77">
        <f t="shared" si="8"/>
        <v>12</v>
      </c>
      <c r="AA18" s="77"/>
      <c r="AB18" s="78">
        <v>32507030</v>
      </c>
      <c r="AC18" s="78">
        <v>9558177</v>
      </c>
      <c r="AD18" s="78">
        <f t="shared" si="21"/>
        <v>22948853</v>
      </c>
      <c r="AE18" s="99">
        <v>5.04</v>
      </c>
      <c r="AF18" s="78">
        <v>113452</v>
      </c>
      <c r="AG18" s="99">
        <v>30.85</v>
      </c>
      <c r="AH18" s="78">
        <v>690109</v>
      </c>
      <c r="AI18" s="173">
        <v>0</v>
      </c>
      <c r="AJ18" s="173">
        <v>0</v>
      </c>
      <c r="AK18" s="77">
        <v>0</v>
      </c>
      <c r="AL18" s="78">
        <v>0</v>
      </c>
      <c r="AM18" s="78">
        <f t="shared" si="22"/>
        <v>803561</v>
      </c>
      <c r="AN18" s="173">
        <v>12</v>
      </c>
      <c r="AO18" s="78">
        <v>269517</v>
      </c>
      <c r="AP18" s="100">
        <v>0</v>
      </c>
      <c r="AQ18" s="100">
        <v>0</v>
      </c>
      <c r="AR18" s="77">
        <v>0</v>
      </c>
      <c r="AS18" s="78">
        <v>0</v>
      </c>
      <c r="AT18" s="78">
        <f t="shared" si="23"/>
        <v>269517</v>
      </c>
      <c r="AU18" s="100">
        <f t="shared" si="24"/>
        <v>47.89</v>
      </c>
      <c r="AV18" s="78">
        <f t="shared" si="24"/>
        <v>1073078</v>
      </c>
      <c r="AW18" s="78">
        <f t="shared" si="25"/>
        <v>0</v>
      </c>
      <c r="AX18" s="78">
        <f t="shared" si="26"/>
        <v>1073078</v>
      </c>
      <c r="AY18" s="101">
        <f t="shared" si="27"/>
        <v>11.744</v>
      </c>
      <c r="AZ18" s="101">
        <f t="shared" si="28"/>
        <v>35.015</v>
      </c>
      <c r="BA18" s="101">
        <f t="shared" si="29"/>
        <v>46.76</v>
      </c>
      <c r="BB18" s="82">
        <v>0.02</v>
      </c>
      <c r="BC18" s="78">
        <v>1211629</v>
      </c>
      <c r="BD18" s="78">
        <v>0</v>
      </c>
      <c r="BE18" s="78">
        <f t="shared" si="30"/>
        <v>1211629</v>
      </c>
      <c r="BF18" s="78">
        <f t="shared" si="31"/>
        <v>60581450</v>
      </c>
      <c r="BG18" s="82">
        <f t="shared" si="32"/>
        <v>0.02</v>
      </c>
      <c r="BH18" s="82">
        <f t="shared" si="33"/>
        <v>0</v>
      </c>
      <c r="BI18" s="78">
        <f t="shared" si="34"/>
        <v>2363230</v>
      </c>
    </row>
    <row r="19" spans="2:61" ht="12.75">
      <c r="B19" s="76">
        <v>12</v>
      </c>
      <c r="C19" s="77" t="s">
        <v>18</v>
      </c>
      <c r="D19" s="77">
        <f>'Table 4 Formula'!U19</f>
        <v>2923.13</v>
      </c>
      <c r="E19" s="78">
        <f t="shared" si="0"/>
        <v>5087051</v>
      </c>
      <c r="F19" s="78">
        <f t="shared" si="9"/>
        <v>1740.28</v>
      </c>
      <c r="G19" s="78">
        <f t="shared" si="1"/>
        <v>204335</v>
      </c>
      <c r="H19" s="78">
        <f t="shared" si="10"/>
        <v>69.9</v>
      </c>
      <c r="I19" s="78">
        <v>524339</v>
      </c>
      <c r="J19" s="78">
        <f t="shared" si="11"/>
        <v>179.38</v>
      </c>
      <c r="K19" s="78">
        <f t="shared" si="12"/>
        <v>5815725</v>
      </c>
      <c r="L19" s="78">
        <f t="shared" si="13"/>
        <v>1989.55</v>
      </c>
      <c r="M19" s="102">
        <f t="shared" si="2"/>
        <v>1.26053322</v>
      </c>
      <c r="N19" s="77">
        <f t="shared" si="3"/>
        <v>12</v>
      </c>
      <c r="O19" s="99">
        <f t="shared" si="4"/>
        <v>45.133</v>
      </c>
      <c r="P19" s="78">
        <f t="shared" si="5"/>
        <v>5649421</v>
      </c>
      <c r="Q19" s="78">
        <f t="shared" si="14"/>
        <v>1932.66</v>
      </c>
      <c r="R19" s="82">
        <f t="shared" si="6"/>
        <v>0</v>
      </c>
      <c r="S19" s="78">
        <f t="shared" si="7"/>
        <v>0</v>
      </c>
      <c r="T19" s="78">
        <f t="shared" si="15"/>
        <v>0</v>
      </c>
      <c r="U19" s="78">
        <f t="shared" si="16"/>
        <v>524339</v>
      </c>
      <c r="V19" s="77">
        <f t="shared" si="17"/>
        <v>179.38</v>
      </c>
      <c r="W19" s="78">
        <f t="shared" si="18"/>
        <v>6173760</v>
      </c>
      <c r="X19" s="78">
        <f t="shared" si="19"/>
        <v>2112.04</v>
      </c>
      <c r="Y19" s="80">
        <f t="shared" si="20"/>
        <v>1.061567</v>
      </c>
      <c r="Z19" s="77">
        <f t="shared" si="8"/>
        <v>24</v>
      </c>
      <c r="AA19" s="77"/>
      <c r="AB19" s="78">
        <v>134885273</v>
      </c>
      <c r="AC19" s="78">
        <v>9711775</v>
      </c>
      <c r="AD19" s="78">
        <f t="shared" si="21"/>
        <v>125173498</v>
      </c>
      <c r="AE19" s="99">
        <v>4.51</v>
      </c>
      <c r="AF19" s="78">
        <v>506298</v>
      </c>
      <c r="AG19" s="99">
        <v>44.75</v>
      </c>
      <c r="AH19" s="78">
        <v>4967613</v>
      </c>
      <c r="AI19" s="173">
        <v>0</v>
      </c>
      <c r="AJ19" s="173">
        <v>0</v>
      </c>
      <c r="AK19" s="77">
        <v>0</v>
      </c>
      <c r="AL19" s="78">
        <v>0</v>
      </c>
      <c r="AM19" s="78">
        <f t="shared" si="22"/>
        <v>5473911</v>
      </c>
      <c r="AN19" s="175">
        <v>0</v>
      </c>
      <c r="AO19" s="78">
        <v>0</v>
      </c>
      <c r="AP19" s="173">
        <v>12</v>
      </c>
      <c r="AQ19" s="173">
        <v>12</v>
      </c>
      <c r="AR19" s="77">
        <v>1</v>
      </c>
      <c r="AS19" s="78">
        <v>175510</v>
      </c>
      <c r="AT19" s="78">
        <f t="shared" si="23"/>
        <v>175510</v>
      </c>
      <c r="AU19" s="100">
        <f t="shared" si="24"/>
        <v>49.26</v>
      </c>
      <c r="AV19" s="78">
        <f t="shared" si="24"/>
        <v>5473911</v>
      </c>
      <c r="AW19" s="78">
        <f t="shared" si="25"/>
        <v>175510</v>
      </c>
      <c r="AX19" s="78">
        <f t="shared" si="26"/>
        <v>5649421</v>
      </c>
      <c r="AY19" s="101">
        <f t="shared" si="27"/>
        <v>1.402</v>
      </c>
      <c r="AZ19" s="101">
        <f t="shared" si="28"/>
        <v>43.731</v>
      </c>
      <c r="BA19" s="101">
        <f t="shared" si="29"/>
        <v>45.133</v>
      </c>
      <c r="BB19" s="82">
        <v>0</v>
      </c>
      <c r="BC19" s="78">
        <v>0</v>
      </c>
      <c r="BD19" s="78">
        <v>0</v>
      </c>
      <c r="BE19" s="78">
        <f t="shared" si="30"/>
        <v>0</v>
      </c>
      <c r="BF19" s="78">
        <f>ROUND((472451.2/0.04),0)</f>
        <v>11811280</v>
      </c>
      <c r="BG19" s="82">
        <f t="shared" si="32"/>
        <v>0</v>
      </c>
      <c r="BH19" s="82">
        <f t="shared" si="33"/>
        <v>0</v>
      </c>
      <c r="BI19" s="78">
        <f t="shared" si="34"/>
        <v>6173760</v>
      </c>
    </row>
    <row r="20" spans="2:61" ht="12.75">
      <c r="B20" s="76">
        <v>13</v>
      </c>
      <c r="C20" s="77" t="s">
        <v>19</v>
      </c>
      <c r="D20" s="77">
        <f>'Table 4 Formula'!U20</f>
        <v>2792.79</v>
      </c>
      <c r="E20" s="78">
        <f t="shared" si="0"/>
        <v>1008238</v>
      </c>
      <c r="F20" s="78">
        <f t="shared" si="9"/>
        <v>361.01</v>
      </c>
      <c r="G20" s="78">
        <f t="shared" si="1"/>
        <v>1275137</v>
      </c>
      <c r="H20" s="78">
        <f t="shared" si="10"/>
        <v>456.58</v>
      </c>
      <c r="I20" s="78">
        <v>89799</v>
      </c>
      <c r="J20" s="78">
        <f t="shared" si="11"/>
        <v>32.15</v>
      </c>
      <c r="K20" s="78">
        <f t="shared" si="12"/>
        <v>2373174</v>
      </c>
      <c r="L20" s="78">
        <f t="shared" si="13"/>
        <v>849.75</v>
      </c>
      <c r="M20" s="102">
        <f t="shared" si="2"/>
        <v>0.5383821</v>
      </c>
      <c r="N20" s="77">
        <f t="shared" si="3"/>
        <v>53</v>
      </c>
      <c r="O20" s="99">
        <f t="shared" si="4"/>
        <v>37.737</v>
      </c>
      <c r="P20" s="78">
        <f t="shared" si="5"/>
        <v>936207</v>
      </c>
      <c r="Q20" s="78">
        <f t="shared" si="14"/>
        <v>335.22</v>
      </c>
      <c r="R20" s="82">
        <f t="shared" si="6"/>
        <v>0.02</v>
      </c>
      <c r="S20" s="78">
        <f t="shared" si="7"/>
        <v>1474147</v>
      </c>
      <c r="T20" s="78">
        <f t="shared" si="15"/>
        <v>527.8402600983246</v>
      </c>
      <c r="U20" s="78">
        <f t="shared" si="16"/>
        <v>89799</v>
      </c>
      <c r="V20" s="77">
        <f t="shared" si="17"/>
        <v>32.15</v>
      </c>
      <c r="W20" s="78">
        <f t="shared" si="18"/>
        <v>2500153</v>
      </c>
      <c r="X20" s="78">
        <f t="shared" si="19"/>
        <v>895.22</v>
      </c>
      <c r="Y20" s="80">
        <f t="shared" si="20"/>
        <v>1.05351</v>
      </c>
      <c r="Z20" s="77">
        <f t="shared" si="8"/>
        <v>25</v>
      </c>
      <c r="AA20" s="77"/>
      <c r="AB20" s="78">
        <v>33804510</v>
      </c>
      <c r="AC20" s="78">
        <v>8995510</v>
      </c>
      <c r="AD20" s="78">
        <f t="shared" si="21"/>
        <v>24809000</v>
      </c>
      <c r="AE20" s="99">
        <v>4.29</v>
      </c>
      <c r="AF20" s="78">
        <v>101777</v>
      </c>
      <c r="AG20" s="99">
        <v>12.75</v>
      </c>
      <c r="AH20" s="78">
        <v>302486</v>
      </c>
      <c r="AI20" s="173">
        <v>3.57</v>
      </c>
      <c r="AJ20" s="173">
        <v>5.39</v>
      </c>
      <c r="AK20" s="77">
        <v>4</v>
      </c>
      <c r="AL20" s="78">
        <v>98197</v>
      </c>
      <c r="AM20" s="78">
        <f t="shared" si="22"/>
        <v>502460</v>
      </c>
      <c r="AN20" s="175">
        <v>0</v>
      </c>
      <c r="AO20" s="78">
        <v>0</v>
      </c>
      <c r="AP20" s="100">
        <v>11.76</v>
      </c>
      <c r="AQ20" s="100">
        <v>44.05</v>
      </c>
      <c r="AR20" s="77">
        <v>4</v>
      </c>
      <c r="AS20" s="78">
        <v>433747</v>
      </c>
      <c r="AT20" s="78">
        <f t="shared" si="23"/>
        <v>433747</v>
      </c>
      <c r="AU20" s="100">
        <f t="shared" si="24"/>
        <v>17.04</v>
      </c>
      <c r="AV20" s="78">
        <f t="shared" si="24"/>
        <v>404263</v>
      </c>
      <c r="AW20" s="78">
        <f t="shared" si="25"/>
        <v>531944</v>
      </c>
      <c r="AX20" s="78">
        <f t="shared" si="26"/>
        <v>936207</v>
      </c>
      <c r="AY20" s="101">
        <f t="shared" si="27"/>
        <v>17.483</v>
      </c>
      <c r="AZ20" s="101">
        <f t="shared" si="28"/>
        <v>20.253</v>
      </c>
      <c r="BA20" s="101">
        <f t="shared" si="29"/>
        <v>37.737</v>
      </c>
      <c r="BB20" s="82">
        <v>0.02</v>
      </c>
      <c r="BC20" s="78">
        <v>1474147</v>
      </c>
      <c r="BD20" s="78">
        <v>0</v>
      </c>
      <c r="BE20" s="78">
        <f t="shared" si="30"/>
        <v>1474147</v>
      </c>
      <c r="BF20" s="78">
        <f t="shared" si="31"/>
        <v>73707350</v>
      </c>
      <c r="BG20" s="82">
        <f t="shared" si="32"/>
        <v>0.02</v>
      </c>
      <c r="BH20" s="82">
        <f t="shared" si="33"/>
        <v>0</v>
      </c>
      <c r="BI20" s="78">
        <f t="shared" si="34"/>
        <v>2500153</v>
      </c>
    </row>
    <row r="21" spans="2:61" ht="12.75">
      <c r="B21" s="76">
        <v>14</v>
      </c>
      <c r="C21" s="77" t="s">
        <v>20</v>
      </c>
      <c r="D21" s="77">
        <f>'Table 4 Formula'!U21</f>
        <v>4242.76</v>
      </c>
      <c r="E21" s="78">
        <f t="shared" si="0"/>
        <v>2411721</v>
      </c>
      <c r="F21" s="78">
        <f t="shared" si="9"/>
        <v>568.43</v>
      </c>
      <c r="G21" s="78">
        <f t="shared" si="1"/>
        <v>2032656</v>
      </c>
      <c r="H21" s="78">
        <f t="shared" si="10"/>
        <v>479.09</v>
      </c>
      <c r="I21" s="78">
        <v>199822</v>
      </c>
      <c r="J21" s="78">
        <f t="shared" si="11"/>
        <v>47.1</v>
      </c>
      <c r="K21" s="78">
        <f t="shared" si="12"/>
        <v>4644199</v>
      </c>
      <c r="L21" s="78">
        <f t="shared" si="13"/>
        <v>1094.62</v>
      </c>
      <c r="M21" s="102">
        <f t="shared" si="2"/>
        <v>0.69352611</v>
      </c>
      <c r="N21" s="77">
        <f t="shared" si="3"/>
        <v>37</v>
      </c>
      <c r="O21" s="99">
        <f t="shared" si="4"/>
        <v>29.668</v>
      </c>
      <c r="P21" s="78">
        <f t="shared" si="5"/>
        <v>1760583</v>
      </c>
      <c r="Q21" s="78">
        <f t="shared" si="14"/>
        <v>414.96</v>
      </c>
      <c r="R21" s="82">
        <f t="shared" si="6"/>
        <v>0.02</v>
      </c>
      <c r="S21" s="78">
        <f t="shared" si="7"/>
        <v>2349891</v>
      </c>
      <c r="T21" s="78">
        <f t="shared" si="15"/>
        <v>553.8590445841858</v>
      </c>
      <c r="U21" s="78">
        <f t="shared" si="16"/>
        <v>199822</v>
      </c>
      <c r="V21" s="77">
        <f t="shared" si="17"/>
        <v>47.1</v>
      </c>
      <c r="W21" s="78">
        <f t="shared" si="18"/>
        <v>4310296</v>
      </c>
      <c r="X21" s="78">
        <f t="shared" si="19"/>
        <v>1015.92</v>
      </c>
      <c r="Y21" s="80">
        <f t="shared" si="20"/>
        <v>0.928103</v>
      </c>
      <c r="Z21" s="77">
        <f t="shared" si="8"/>
        <v>40</v>
      </c>
      <c r="AA21" s="77"/>
      <c r="AB21" s="78">
        <v>75473080</v>
      </c>
      <c r="AC21" s="78">
        <v>16129550</v>
      </c>
      <c r="AD21" s="78">
        <f t="shared" si="21"/>
        <v>59343530</v>
      </c>
      <c r="AE21" s="99">
        <v>6.43</v>
      </c>
      <c r="AF21" s="78">
        <v>374657</v>
      </c>
      <c r="AG21" s="99">
        <v>12.5</v>
      </c>
      <c r="AH21" s="78">
        <v>728340</v>
      </c>
      <c r="AI21" s="173">
        <v>4.25</v>
      </c>
      <c r="AJ21" s="173">
        <v>12.66</v>
      </c>
      <c r="AK21" s="77">
        <v>5</v>
      </c>
      <c r="AL21" s="78">
        <v>417924</v>
      </c>
      <c r="AM21" s="78">
        <f t="shared" si="22"/>
        <v>1520921</v>
      </c>
      <c r="AN21" s="175">
        <v>0</v>
      </c>
      <c r="AO21" s="78">
        <v>0</v>
      </c>
      <c r="AP21" s="173">
        <v>2.09</v>
      </c>
      <c r="AQ21" s="100">
        <v>9.64</v>
      </c>
      <c r="AR21" s="77">
        <v>3</v>
      </c>
      <c r="AS21" s="78">
        <v>239662</v>
      </c>
      <c r="AT21" s="78">
        <f t="shared" si="23"/>
        <v>239662</v>
      </c>
      <c r="AU21" s="100">
        <f t="shared" si="24"/>
        <v>18.93</v>
      </c>
      <c r="AV21" s="78">
        <f t="shared" si="24"/>
        <v>1102997</v>
      </c>
      <c r="AW21" s="78">
        <f t="shared" si="25"/>
        <v>657586</v>
      </c>
      <c r="AX21" s="78">
        <f t="shared" si="26"/>
        <v>1760583</v>
      </c>
      <c r="AY21" s="101">
        <f t="shared" si="27"/>
        <v>4.039</v>
      </c>
      <c r="AZ21" s="101">
        <f t="shared" si="28"/>
        <v>25.629</v>
      </c>
      <c r="BA21" s="101">
        <f t="shared" si="29"/>
        <v>29.668</v>
      </c>
      <c r="BB21" s="82">
        <v>0.02</v>
      </c>
      <c r="BC21" s="78">
        <v>2349891</v>
      </c>
      <c r="BD21" s="78">
        <v>0</v>
      </c>
      <c r="BE21" s="78">
        <f t="shared" si="30"/>
        <v>2349891</v>
      </c>
      <c r="BF21" s="78">
        <f t="shared" si="31"/>
        <v>117494550</v>
      </c>
      <c r="BG21" s="82">
        <f t="shared" si="32"/>
        <v>0.02</v>
      </c>
      <c r="BH21" s="82">
        <f t="shared" si="33"/>
        <v>0</v>
      </c>
      <c r="BI21" s="78">
        <f t="shared" si="34"/>
        <v>4310296</v>
      </c>
    </row>
    <row r="22" spans="2:61" ht="12.75">
      <c r="B22" s="115">
        <v>15</v>
      </c>
      <c r="C22" s="116" t="s">
        <v>21</v>
      </c>
      <c r="D22" s="116">
        <f>'Table 4 Formula'!U22</f>
        <v>5470.72</v>
      </c>
      <c r="E22" s="117">
        <f t="shared" si="0"/>
        <v>2590076</v>
      </c>
      <c r="F22" s="117">
        <f t="shared" si="9"/>
        <v>473.44</v>
      </c>
      <c r="G22" s="117">
        <f t="shared" si="1"/>
        <v>2537593</v>
      </c>
      <c r="H22" s="117">
        <f t="shared" si="10"/>
        <v>463.85</v>
      </c>
      <c r="I22" s="117">
        <v>162279</v>
      </c>
      <c r="J22" s="117">
        <f t="shared" si="11"/>
        <v>29.66</v>
      </c>
      <c r="K22" s="117">
        <f t="shared" si="12"/>
        <v>5289948</v>
      </c>
      <c r="L22" s="117">
        <f t="shared" si="13"/>
        <v>966.96</v>
      </c>
      <c r="M22" s="128">
        <f t="shared" si="2"/>
        <v>0.61264366</v>
      </c>
      <c r="N22" s="116">
        <f t="shared" si="3"/>
        <v>46</v>
      </c>
      <c r="O22" s="125">
        <f t="shared" si="4"/>
        <v>26.812</v>
      </c>
      <c r="P22" s="117">
        <f t="shared" si="5"/>
        <v>1708800</v>
      </c>
      <c r="Q22" s="117">
        <f t="shared" si="14"/>
        <v>312.35</v>
      </c>
      <c r="R22" s="122">
        <f t="shared" si="6"/>
        <v>0.02</v>
      </c>
      <c r="S22" s="117">
        <f t="shared" si="7"/>
        <v>2933633</v>
      </c>
      <c r="T22" s="117">
        <f t="shared" si="15"/>
        <v>536.2425786733738</v>
      </c>
      <c r="U22" s="117">
        <f t="shared" si="16"/>
        <v>162279</v>
      </c>
      <c r="V22" s="116">
        <f t="shared" si="17"/>
        <v>29.66</v>
      </c>
      <c r="W22" s="117">
        <f t="shared" si="18"/>
        <v>4804712</v>
      </c>
      <c r="X22" s="117">
        <f t="shared" si="19"/>
        <v>878.26</v>
      </c>
      <c r="Y22" s="120">
        <f t="shared" si="20"/>
        <v>0.908269</v>
      </c>
      <c r="Z22" s="116">
        <f t="shared" si="8"/>
        <v>42</v>
      </c>
      <c r="AA22" s="116"/>
      <c r="AB22" s="117">
        <v>85037330</v>
      </c>
      <c r="AC22" s="117">
        <v>21305150</v>
      </c>
      <c r="AD22" s="117">
        <f t="shared" si="21"/>
        <v>63732180</v>
      </c>
      <c r="AE22" s="125">
        <v>3.1</v>
      </c>
      <c r="AF22" s="117">
        <v>191063</v>
      </c>
      <c r="AG22" s="125">
        <v>24.58</v>
      </c>
      <c r="AH22" s="117">
        <v>1517737</v>
      </c>
      <c r="AI22" s="174">
        <v>0</v>
      </c>
      <c r="AJ22" s="174">
        <v>0</v>
      </c>
      <c r="AK22" s="116">
        <v>0</v>
      </c>
      <c r="AL22" s="117">
        <v>0</v>
      </c>
      <c r="AM22" s="117">
        <f t="shared" si="22"/>
        <v>1708800</v>
      </c>
      <c r="AN22" s="176">
        <v>0</v>
      </c>
      <c r="AO22" s="117">
        <v>0</v>
      </c>
      <c r="AP22" s="126">
        <v>0</v>
      </c>
      <c r="AQ22" s="126">
        <v>0</v>
      </c>
      <c r="AR22" s="116">
        <v>0</v>
      </c>
      <c r="AS22" s="117">
        <v>0</v>
      </c>
      <c r="AT22" s="117">
        <f t="shared" si="23"/>
        <v>0</v>
      </c>
      <c r="AU22" s="126">
        <f t="shared" si="24"/>
        <v>27.68</v>
      </c>
      <c r="AV22" s="117">
        <f t="shared" si="24"/>
        <v>1708800</v>
      </c>
      <c r="AW22" s="117">
        <f t="shared" si="25"/>
        <v>0</v>
      </c>
      <c r="AX22" s="117">
        <f t="shared" si="26"/>
        <v>1708800</v>
      </c>
      <c r="AY22" s="127">
        <f t="shared" si="27"/>
        <v>0</v>
      </c>
      <c r="AZ22" s="127">
        <f t="shared" si="28"/>
        <v>26.812</v>
      </c>
      <c r="BA22" s="127">
        <f t="shared" si="29"/>
        <v>26.812</v>
      </c>
      <c r="BB22" s="122">
        <v>0.02</v>
      </c>
      <c r="BC22" s="117">
        <v>2933633</v>
      </c>
      <c r="BD22" s="117">
        <v>0</v>
      </c>
      <c r="BE22" s="117">
        <f t="shared" si="30"/>
        <v>2933633</v>
      </c>
      <c r="BF22" s="117">
        <f t="shared" si="31"/>
        <v>146681650</v>
      </c>
      <c r="BG22" s="122">
        <f t="shared" si="32"/>
        <v>0.02</v>
      </c>
      <c r="BH22" s="122">
        <f t="shared" si="33"/>
        <v>0</v>
      </c>
      <c r="BI22" s="117">
        <f t="shared" si="34"/>
        <v>4804712</v>
      </c>
    </row>
    <row r="23" spans="2:61" ht="12.75">
      <c r="B23" s="76">
        <v>16</v>
      </c>
      <c r="C23" s="77" t="s">
        <v>22</v>
      </c>
      <c r="D23" s="77">
        <f>'Table 4 Formula'!U23</f>
        <v>7121.360000000001</v>
      </c>
      <c r="E23" s="78">
        <f t="shared" si="0"/>
        <v>6697267</v>
      </c>
      <c r="F23" s="78">
        <f t="shared" si="9"/>
        <v>940.45</v>
      </c>
      <c r="G23" s="78">
        <f t="shared" si="1"/>
        <v>4819912</v>
      </c>
      <c r="H23" s="78">
        <f t="shared" si="10"/>
        <v>676.82</v>
      </c>
      <c r="I23" s="78">
        <v>293135</v>
      </c>
      <c r="J23" s="78">
        <f t="shared" si="11"/>
        <v>41.16</v>
      </c>
      <c r="K23" s="78">
        <f t="shared" si="12"/>
        <v>11810314</v>
      </c>
      <c r="L23" s="78">
        <f t="shared" si="13"/>
        <v>1658.44</v>
      </c>
      <c r="M23" s="102">
        <f t="shared" si="2"/>
        <v>1.05074952</v>
      </c>
      <c r="N23" s="77">
        <f t="shared" si="3"/>
        <v>17</v>
      </c>
      <c r="O23" s="99">
        <f t="shared" si="4"/>
        <v>52.283</v>
      </c>
      <c r="P23" s="78">
        <f t="shared" si="5"/>
        <v>8615977</v>
      </c>
      <c r="Q23" s="78">
        <f t="shared" si="14"/>
        <v>1209.88</v>
      </c>
      <c r="R23" s="82">
        <f t="shared" si="6"/>
        <v>0.02</v>
      </c>
      <c r="S23" s="78">
        <f t="shared" si="7"/>
        <v>5572153</v>
      </c>
      <c r="T23" s="78">
        <f t="shared" si="15"/>
        <v>782.4563004819304</v>
      </c>
      <c r="U23" s="78">
        <f t="shared" si="16"/>
        <v>293135</v>
      </c>
      <c r="V23" s="77">
        <f t="shared" si="17"/>
        <v>41.16</v>
      </c>
      <c r="W23" s="78">
        <f t="shared" si="18"/>
        <v>14481265</v>
      </c>
      <c r="X23" s="78">
        <f t="shared" si="19"/>
        <v>2033.5</v>
      </c>
      <c r="Y23" s="80">
        <f t="shared" si="20"/>
        <v>1.226152</v>
      </c>
      <c r="Z23" s="77">
        <f t="shared" si="8"/>
        <v>8</v>
      </c>
      <c r="AA23" s="77"/>
      <c r="AB23" s="78">
        <v>191126014</v>
      </c>
      <c r="AC23" s="78">
        <v>26331061</v>
      </c>
      <c r="AD23" s="78">
        <f t="shared" si="21"/>
        <v>164794953</v>
      </c>
      <c r="AE23" s="99">
        <v>4.3</v>
      </c>
      <c r="AF23" s="78">
        <v>704657</v>
      </c>
      <c r="AG23" s="99">
        <v>35.5</v>
      </c>
      <c r="AH23" s="78">
        <v>5817875</v>
      </c>
      <c r="AI23" s="173">
        <v>0</v>
      </c>
      <c r="AJ23" s="173">
        <v>0</v>
      </c>
      <c r="AK23" s="77">
        <v>0</v>
      </c>
      <c r="AL23" s="78">
        <v>0</v>
      </c>
      <c r="AM23" s="78">
        <f t="shared" si="22"/>
        <v>6522532</v>
      </c>
      <c r="AN23" s="175">
        <v>0</v>
      </c>
      <c r="AO23" s="78">
        <v>0</v>
      </c>
      <c r="AP23" s="100">
        <v>8</v>
      </c>
      <c r="AQ23" s="100">
        <v>31</v>
      </c>
      <c r="AR23" s="77">
        <v>5</v>
      </c>
      <c r="AS23" s="78">
        <v>2093445</v>
      </c>
      <c r="AT23" s="78">
        <f t="shared" si="23"/>
        <v>2093445</v>
      </c>
      <c r="AU23" s="100">
        <f t="shared" si="24"/>
        <v>39.8</v>
      </c>
      <c r="AV23" s="78">
        <f t="shared" si="24"/>
        <v>6522532</v>
      </c>
      <c r="AW23" s="78">
        <f t="shared" si="25"/>
        <v>2093445</v>
      </c>
      <c r="AX23" s="78">
        <f t="shared" si="26"/>
        <v>8615977</v>
      </c>
      <c r="AY23" s="101">
        <f t="shared" si="27"/>
        <v>12.703</v>
      </c>
      <c r="AZ23" s="101">
        <f t="shared" si="28"/>
        <v>39.58</v>
      </c>
      <c r="BA23" s="101">
        <f t="shared" si="29"/>
        <v>52.283</v>
      </c>
      <c r="BB23" s="82">
        <v>0.02</v>
      </c>
      <c r="BC23" s="78">
        <v>4710538</v>
      </c>
      <c r="BD23" s="78">
        <v>861615</v>
      </c>
      <c r="BE23" s="78">
        <f t="shared" si="30"/>
        <v>5572153</v>
      </c>
      <c r="BF23" s="78">
        <f t="shared" si="31"/>
        <v>278607650</v>
      </c>
      <c r="BG23" s="82">
        <f t="shared" si="32"/>
        <v>0.0169</v>
      </c>
      <c r="BH23" s="82">
        <f t="shared" si="33"/>
        <v>0.0031</v>
      </c>
      <c r="BI23" s="78">
        <f t="shared" si="34"/>
        <v>14481265</v>
      </c>
    </row>
    <row r="24" spans="2:61" ht="12.75">
      <c r="B24" s="76">
        <v>17</v>
      </c>
      <c r="C24" s="77" t="s">
        <v>23</v>
      </c>
      <c r="D24" s="77">
        <f>'Table 4 Formula'!U24</f>
        <v>71718.91</v>
      </c>
      <c r="E24" s="78">
        <f t="shared" si="0"/>
        <v>64203710</v>
      </c>
      <c r="F24" s="78">
        <f t="shared" si="9"/>
        <v>895.21</v>
      </c>
      <c r="G24" s="78">
        <f t="shared" si="1"/>
        <v>87131951</v>
      </c>
      <c r="H24" s="78">
        <f t="shared" si="10"/>
        <v>1214.91</v>
      </c>
      <c r="I24" s="78">
        <v>3693754</v>
      </c>
      <c r="J24" s="78">
        <f t="shared" si="11"/>
        <v>51.5</v>
      </c>
      <c r="K24" s="78">
        <f t="shared" si="12"/>
        <v>155029415</v>
      </c>
      <c r="L24" s="78">
        <f t="shared" si="13"/>
        <v>2161.63</v>
      </c>
      <c r="M24" s="102">
        <f t="shared" si="2"/>
        <v>1.36955916</v>
      </c>
      <c r="N24" s="77">
        <f t="shared" si="3"/>
        <v>10</v>
      </c>
      <c r="O24" s="99">
        <f t="shared" si="4"/>
        <v>42.655</v>
      </c>
      <c r="P24" s="78">
        <f t="shared" si="5"/>
        <v>67387307</v>
      </c>
      <c r="Q24" s="78">
        <f t="shared" si="14"/>
        <v>939.6</v>
      </c>
      <c r="R24" s="82">
        <f t="shared" si="6"/>
        <v>0.0141</v>
      </c>
      <c r="S24" s="78">
        <f t="shared" si="7"/>
        <v>71015058</v>
      </c>
      <c r="T24" s="78">
        <f t="shared" si="15"/>
        <v>990.1859635066958</v>
      </c>
      <c r="U24" s="78">
        <f t="shared" si="16"/>
        <v>3693754</v>
      </c>
      <c r="V24" s="77">
        <f t="shared" si="17"/>
        <v>51.5</v>
      </c>
      <c r="W24" s="78">
        <f t="shared" si="18"/>
        <v>142096119</v>
      </c>
      <c r="X24" s="78">
        <f t="shared" si="19"/>
        <v>1981.29</v>
      </c>
      <c r="Y24" s="80">
        <f t="shared" si="20"/>
        <v>0.916572</v>
      </c>
      <c r="Z24" s="77">
        <f t="shared" si="8"/>
        <v>41</v>
      </c>
      <c r="AA24" s="77"/>
      <c r="AB24" s="78">
        <v>2110523940</v>
      </c>
      <c r="AC24" s="78">
        <v>530708250</v>
      </c>
      <c r="AD24" s="78">
        <f t="shared" si="21"/>
        <v>1579815690</v>
      </c>
      <c r="AE24" s="99">
        <v>5.25</v>
      </c>
      <c r="AF24" s="78">
        <v>8142309</v>
      </c>
      <c r="AG24" s="99">
        <v>38.2</v>
      </c>
      <c r="AH24" s="78">
        <v>59244998</v>
      </c>
      <c r="AI24" s="173">
        <v>0</v>
      </c>
      <c r="AJ24" s="173">
        <v>0</v>
      </c>
      <c r="AK24" s="77">
        <v>0</v>
      </c>
      <c r="AL24" s="78">
        <v>0</v>
      </c>
      <c r="AM24" s="78">
        <f t="shared" si="22"/>
        <v>67387307</v>
      </c>
      <c r="AN24" s="175">
        <v>0</v>
      </c>
      <c r="AO24" s="78">
        <v>0</v>
      </c>
      <c r="AP24" s="100">
        <v>0</v>
      </c>
      <c r="AQ24" s="100">
        <v>0</v>
      </c>
      <c r="AR24" s="77">
        <v>0</v>
      </c>
      <c r="AS24" s="78">
        <v>0</v>
      </c>
      <c r="AT24" s="78">
        <f t="shared" si="23"/>
        <v>0</v>
      </c>
      <c r="AU24" s="100">
        <f t="shared" si="24"/>
        <v>43.45</v>
      </c>
      <c r="AV24" s="78">
        <f t="shared" si="24"/>
        <v>67387307</v>
      </c>
      <c r="AW24" s="78">
        <f t="shared" si="25"/>
        <v>0</v>
      </c>
      <c r="AX24" s="78">
        <f t="shared" si="26"/>
        <v>67387307</v>
      </c>
      <c r="AY24" s="101">
        <f t="shared" si="27"/>
        <v>0</v>
      </c>
      <c r="AZ24" s="101">
        <f t="shared" si="28"/>
        <v>42.655</v>
      </c>
      <c r="BA24" s="101">
        <f t="shared" si="29"/>
        <v>42.655</v>
      </c>
      <c r="BB24" s="82">
        <v>0.0141</v>
      </c>
      <c r="BC24" s="78">
        <v>71015058</v>
      </c>
      <c r="BD24" s="78">
        <v>0</v>
      </c>
      <c r="BE24" s="78">
        <f t="shared" si="30"/>
        <v>71015058</v>
      </c>
      <c r="BF24" s="78">
        <f t="shared" si="31"/>
        <v>5036528936</v>
      </c>
      <c r="BG24" s="82">
        <f t="shared" si="32"/>
        <v>0.0141</v>
      </c>
      <c r="BH24" s="82">
        <f t="shared" si="33"/>
        <v>0</v>
      </c>
      <c r="BI24" s="78">
        <f t="shared" si="34"/>
        <v>142096119</v>
      </c>
    </row>
    <row r="25" spans="2:61" ht="12.75">
      <c r="B25" s="76">
        <v>18</v>
      </c>
      <c r="C25" s="77" t="s">
        <v>24</v>
      </c>
      <c r="D25" s="77">
        <f>'Table 4 Formula'!U25</f>
        <v>2743.75</v>
      </c>
      <c r="E25" s="78">
        <f t="shared" si="0"/>
        <v>1042978</v>
      </c>
      <c r="F25" s="78">
        <f t="shared" si="9"/>
        <v>380.13</v>
      </c>
      <c r="G25" s="78">
        <f t="shared" si="1"/>
        <v>761437</v>
      </c>
      <c r="H25" s="78">
        <f t="shared" si="10"/>
        <v>277.52</v>
      </c>
      <c r="I25" s="78">
        <v>88835</v>
      </c>
      <c r="J25" s="78">
        <f t="shared" si="11"/>
        <v>32.38</v>
      </c>
      <c r="K25" s="78">
        <f t="shared" si="12"/>
        <v>1893250</v>
      </c>
      <c r="L25" s="78">
        <f t="shared" si="13"/>
        <v>690.02</v>
      </c>
      <c r="M25" s="102">
        <f t="shared" si="2"/>
        <v>0.43718084</v>
      </c>
      <c r="N25" s="77">
        <f t="shared" si="3"/>
        <v>63</v>
      </c>
      <c r="O25" s="99">
        <f t="shared" si="4"/>
        <v>10.381</v>
      </c>
      <c r="P25" s="78">
        <f t="shared" si="5"/>
        <v>266422</v>
      </c>
      <c r="Q25" s="78">
        <f t="shared" si="14"/>
        <v>97.1</v>
      </c>
      <c r="R25" s="82">
        <f t="shared" si="6"/>
        <v>0.025</v>
      </c>
      <c r="S25" s="78">
        <f t="shared" si="7"/>
        <v>1100342</v>
      </c>
      <c r="T25" s="78">
        <f t="shared" si="15"/>
        <v>401.03580865603647</v>
      </c>
      <c r="U25" s="78">
        <f t="shared" si="16"/>
        <v>88835</v>
      </c>
      <c r="V25" s="77">
        <f t="shared" si="17"/>
        <v>32.38</v>
      </c>
      <c r="W25" s="78">
        <f t="shared" si="18"/>
        <v>1455599</v>
      </c>
      <c r="X25" s="78">
        <f t="shared" si="19"/>
        <v>530.51</v>
      </c>
      <c r="Y25" s="80">
        <f t="shared" si="20"/>
        <v>0.768833</v>
      </c>
      <c r="Z25" s="77">
        <f t="shared" si="8"/>
        <v>53</v>
      </c>
      <c r="AA25" s="77"/>
      <c r="AB25" s="78">
        <v>31380011</v>
      </c>
      <c r="AC25" s="78">
        <v>5716193</v>
      </c>
      <c r="AD25" s="78">
        <f t="shared" si="21"/>
        <v>25663818</v>
      </c>
      <c r="AE25" s="99">
        <v>5.22</v>
      </c>
      <c r="AF25" s="78">
        <v>128771</v>
      </c>
      <c r="AG25" s="99">
        <v>5.58</v>
      </c>
      <c r="AH25" s="78">
        <v>137651</v>
      </c>
      <c r="AI25" s="173">
        <v>0</v>
      </c>
      <c r="AJ25" s="173">
        <v>0</v>
      </c>
      <c r="AK25" s="77">
        <v>0</v>
      </c>
      <c r="AL25" s="78">
        <v>0</v>
      </c>
      <c r="AM25" s="78">
        <f t="shared" si="22"/>
        <v>266422</v>
      </c>
      <c r="AN25" s="175">
        <v>0</v>
      </c>
      <c r="AO25" s="78">
        <v>0</v>
      </c>
      <c r="AP25" s="100">
        <v>0</v>
      </c>
      <c r="AQ25" s="100">
        <v>0</v>
      </c>
      <c r="AR25" s="77">
        <v>0</v>
      </c>
      <c r="AS25" s="78">
        <v>0</v>
      </c>
      <c r="AT25" s="78">
        <f t="shared" si="23"/>
        <v>0</v>
      </c>
      <c r="AU25" s="100">
        <f t="shared" si="24"/>
        <v>10.8</v>
      </c>
      <c r="AV25" s="78">
        <f t="shared" si="24"/>
        <v>266422</v>
      </c>
      <c r="AW25" s="78">
        <f t="shared" si="25"/>
        <v>0</v>
      </c>
      <c r="AX25" s="78">
        <f t="shared" si="26"/>
        <v>266422</v>
      </c>
      <c r="AY25" s="101">
        <f t="shared" si="27"/>
        <v>0</v>
      </c>
      <c r="AZ25" s="101">
        <f t="shared" si="28"/>
        <v>10.381</v>
      </c>
      <c r="BA25" s="101">
        <f t="shared" si="29"/>
        <v>10.381</v>
      </c>
      <c r="BB25" s="82">
        <v>0.025</v>
      </c>
      <c r="BC25" s="78">
        <v>1100342</v>
      </c>
      <c r="BD25" s="78">
        <v>0</v>
      </c>
      <c r="BE25" s="78">
        <f t="shared" si="30"/>
        <v>1100342</v>
      </c>
      <c r="BF25" s="78">
        <f t="shared" si="31"/>
        <v>44013680</v>
      </c>
      <c r="BG25" s="82">
        <f t="shared" si="32"/>
        <v>0.025</v>
      </c>
      <c r="BH25" s="82">
        <f t="shared" si="33"/>
        <v>0</v>
      </c>
      <c r="BI25" s="78">
        <f t="shared" si="34"/>
        <v>1455599</v>
      </c>
    </row>
    <row r="26" spans="2:61" ht="12.75">
      <c r="B26" s="76">
        <v>19</v>
      </c>
      <c r="C26" s="77" t="s">
        <v>25</v>
      </c>
      <c r="D26" s="77">
        <f>'Table 4 Formula'!U26</f>
        <v>3921.51</v>
      </c>
      <c r="E26" s="78">
        <f t="shared" si="0"/>
        <v>1864480</v>
      </c>
      <c r="F26" s="78">
        <f t="shared" si="9"/>
        <v>475.45</v>
      </c>
      <c r="G26" s="78">
        <f t="shared" si="1"/>
        <v>1769136</v>
      </c>
      <c r="H26" s="78">
        <f t="shared" si="10"/>
        <v>451.14</v>
      </c>
      <c r="I26" s="78">
        <v>78067</v>
      </c>
      <c r="J26" s="78">
        <f t="shared" si="11"/>
        <v>19.91</v>
      </c>
      <c r="K26" s="78">
        <f t="shared" si="12"/>
        <v>3711683</v>
      </c>
      <c r="L26" s="78">
        <f t="shared" si="13"/>
        <v>946.49</v>
      </c>
      <c r="M26" s="102">
        <f t="shared" si="2"/>
        <v>0.59967434</v>
      </c>
      <c r="N26" s="77">
        <f t="shared" si="3"/>
        <v>47</v>
      </c>
      <c r="O26" s="99">
        <f t="shared" si="4"/>
        <v>38.293</v>
      </c>
      <c r="P26" s="78">
        <f t="shared" si="5"/>
        <v>1756810</v>
      </c>
      <c r="Q26" s="78">
        <f t="shared" si="14"/>
        <v>447.99</v>
      </c>
      <c r="R26" s="82">
        <f t="shared" si="6"/>
        <v>0.02</v>
      </c>
      <c r="S26" s="78">
        <f t="shared" si="7"/>
        <v>2045244</v>
      </c>
      <c r="T26" s="78">
        <f t="shared" si="15"/>
        <v>521.5450170980056</v>
      </c>
      <c r="U26" s="78">
        <f t="shared" si="16"/>
        <v>78067</v>
      </c>
      <c r="V26" s="77">
        <f t="shared" si="17"/>
        <v>19.91</v>
      </c>
      <c r="W26" s="78">
        <f t="shared" si="18"/>
        <v>3880121</v>
      </c>
      <c r="X26" s="78">
        <f t="shared" si="19"/>
        <v>989.45</v>
      </c>
      <c r="Y26" s="80">
        <f t="shared" si="20"/>
        <v>1.045389</v>
      </c>
      <c r="Z26" s="77">
        <f t="shared" si="8"/>
        <v>26</v>
      </c>
      <c r="AA26" s="77"/>
      <c r="AB26" s="78">
        <v>65226400</v>
      </c>
      <c r="AC26" s="78">
        <v>19348450</v>
      </c>
      <c r="AD26" s="78">
        <f t="shared" si="21"/>
        <v>45877950</v>
      </c>
      <c r="AE26" s="99">
        <v>3.34</v>
      </c>
      <c r="AF26" s="78">
        <v>151639</v>
      </c>
      <c r="AG26" s="99">
        <v>15.51</v>
      </c>
      <c r="AH26" s="78">
        <v>704198</v>
      </c>
      <c r="AI26" s="173">
        <v>0</v>
      </c>
      <c r="AJ26" s="173">
        <v>0</v>
      </c>
      <c r="AK26" s="77">
        <v>0</v>
      </c>
      <c r="AL26" s="78">
        <v>0</v>
      </c>
      <c r="AM26" s="78">
        <f t="shared" si="22"/>
        <v>855837</v>
      </c>
      <c r="AN26" s="173">
        <v>19.85</v>
      </c>
      <c r="AO26" s="78">
        <v>900973</v>
      </c>
      <c r="AP26" s="100">
        <v>0</v>
      </c>
      <c r="AQ26" s="100">
        <v>0</v>
      </c>
      <c r="AR26" s="77">
        <v>0</v>
      </c>
      <c r="AS26" s="78">
        <v>0</v>
      </c>
      <c r="AT26" s="78">
        <f t="shared" si="23"/>
        <v>900973</v>
      </c>
      <c r="AU26" s="100">
        <f t="shared" si="24"/>
        <v>38.7</v>
      </c>
      <c r="AV26" s="78">
        <f t="shared" si="24"/>
        <v>1756810</v>
      </c>
      <c r="AW26" s="78">
        <f t="shared" si="25"/>
        <v>0</v>
      </c>
      <c r="AX26" s="78">
        <f t="shared" si="26"/>
        <v>1756810</v>
      </c>
      <c r="AY26" s="101">
        <f t="shared" si="27"/>
        <v>19.638</v>
      </c>
      <c r="AZ26" s="101">
        <f t="shared" si="28"/>
        <v>18.655</v>
      </c>
      <c r="BA26" s="101">
        <f t="shared" si="29"/>
        <v>38.293</v>
      </c>
      <c r="BB26" s="82">
        <v>0.02</v>
      </c>
      <c r="BC26" s="78">
        <v>1022622</v>
      </c>
      <c r="BD26" s="78">
        <v>1022622</v>
      </c>
      <c r="BE26" s="78">
        <f t="shared" si="30"/>
        <v>2045244</v>
      </c>
      <c r="BF26" s="78">
        <f t="shared" si="31"/>
        <v>102262200</v>
      </c>
      <c r="BG26" s="82">
        <f t="shared" si="32"/>
        <v>0.01</v>
      </c>
      <c r="BH26" s="82">
        <f t="shared" si="33"/>
        <v>0.01</v>
      </c>
      <c r="BI26" s="78">
        <f t="shared" si="34"/>
        <v>3880121</v>
      </c>
    </row>
    <row r="27" spans="2:61" ht="12.75">
      <c r="B27" s="115">
        <v>20</v>
      </c>
      <c r="C27" s="116" t="s">
        <v>26</v>
      </c>
      <c r="D27" s="116">
        <f>'Table 4 Formula'!U27</f>
        <v>8925.7</v>
      </c>
      <c r="E27" s="117">
        <f t="shared" si="0"/>
        <v>3925679</v>
      </c>
      <c r="F27" s="117">
        <f t="shared" si="9"/>
        <v>439.82</v>
      </c>
      <c r="G27" s="117">
        <f t="shared" si="1"/>
        <v>3983583</v>
      </c>
      <c r="H27" s="117">
        <f t="shared" si="10"/>
        <v>446.3</v>
      </c>
      <c r="I27" s="117">
        <v>245312</v>
      </c>
      <c r="J27" s="117">
        <f t="shared" si="11"/>
        <v>27.48</v>
      </c>
      <c r="K27" s="117">
        <f t="shared" si="12"/>
        <v>8154574</v>
      </c>
      <c r="L27" s="117">
        <f t="shared" si="13"/>
        <v>913.61</v>
      </c>
      <c r="M27" s="128">
        <f t="shared" si="2"/>
        <v>0.57884233</v>
      </c>
      <c r="N27" s="116">
        <f t="shared" si="3"/>
        <v>50</v>
      </c>
      <c r="O27" s="125">
        <f t="shared" si="4"/>
        <v>32.233</v>
      </c>
      <c r="P27" s="117">
        <f t="shared" si="5"/>
        <v>3113582</v>
      </c>
      <c r="Q27" s="117">
        <f t="shared" si="14"/>
        <v>348.83</v>
      </c>
      <c r="R27" s="122">
        <f t="shared" si="6"/>
        <v>0.01</v>
      </c>
      <c r="S27" s="117">
        <f t="shared" si="7"/>
        <v>2302649</v>
      </c>
      <c r="T27" s="117">
        <f t="shared" si="15"/>
        <v>257.97965425680894</v>
      </c>
      <c r="U27" s="117">
        <f t="shared" si="16"/>
        <v>245312</v>
      </c>
      <c r="V27" s="116">
        <f t="shared" si="17"/>
        <v>27.48</v>
      </c>
      <c r="W27" s="117">
        <f t="shared" si="18"/>
        <v>5661543</v>
      </c>
      <c r="X27" s="117">
        <f t="shared" si="19"/>
        <v>634.3</v>
      </c>
      <c r="Y27" s="120">
        <f t="shared" si="20"/>
        <v>0.694279</v>
      </c>
      <c r="Z27" s="116">
        <f t="shared" si="8"/>
        <v>57</v>
      </c>
      <c r="AA27" s="116"/>
      <c r="AB27" s="117">
        <v>128310920</v>
      </c>
      <c r="AC27" s="117">
        <v>31714495</v>
      </c>
      <c r="AD27" s="117">
        <f t="shared" si="21"/>
        <v>96596425</v>
      </c>
      <c r="AE27" s="125">
        <v>4.46</v>
      </c>
      <c r="AF27" s="117">
        <v>441293</v>
      </c>
      <c r="AG27" s="125">
        <v>9.93</v>
      </c>
      <c r="AH27" s="117">
        <v>982509</v>
      </c>
      <c r="AI27" s="174">
        <v>2</v>
      </c>
      <c r="AJ27" s="174">
        <v>11.93</v>
      </c>
      <c r="AK27" s="116">
        <v>3</v>
      </c>
      <c r="AL27" s="117">
        <v>1336997</v>
      </c>
      <c r="AM27" s="117">
        <f t="shared" si="22"/>
        <v>2760799</v>
      </c>
      <c r="AN27" s="176">
        <v>0</v>
      </c>
      <c r="AO27" s="117">
        <v>0</v>
      </c>
      <c r="AP27" s="174">
        <v>7</v>
      </c>
      <c r="AQ27" s="174">
        <v>16.25</v>
      </c>
      <c r="AR27" s="116">
        <v>2</v>
      </c>
      <c r="AS27" s="117">
        <v>352783</v>
      </c>
      <c r="AT27" s="117">
        <f t="shared" si="23"/>
        <v>352783</v>
      </c>
      <c r="AU27" s="126">
        <f t="shared" si="24"/>
        <v>14.39</v>
      </c>
      <c r="AV27" s="117">
        <f t="shared" si="24"/>
        <v>1423802</v>
      </c>
      <c r="AW27" s="117">
        <f t="shared" si="25"/>
        <v>1689780</v>
      </c>
      <c r="AX27" s="117">
        <f t="shared" si="26"/>
        <v>3113582</v>
      </c>
      <c r="AY27" s="127">
        <f t="shared" si="27"/>
        <v>3.652</v>
      </c>
      <c r="AZ27" s="127">
        <f t="shared" si="28"/>
        <v>28.581</v>
      </c>
      <c r="BA27" s="127">
        <f t="shared" si="29"/>
        <v>32.233</v>
      </c>
      <c r="BB27" s="122">
        <v>0.01</v>
      </c>
      <c r="BC27" s="117">
        <v>2302649</v>
      </c>
      <c r="BD27" s="117">
        <v>0</v>
      </c>
      <c r="BE27" s="117">
        <f t="shared" si="30"/>
        <v>2302649</v>
      </c>
      <c r="BF27" s="117">
        <f t="shared" si="31"/>
        <v>230264900</v>
      </c>
      <c r="BG27" s="122">
        <f t="shared" si="32"/>
        <v>0.01</v>
      </c>
      <c r="BH27" s="122">
        <f t="shared" si="33"/>
        <v>0</v>
      </c>
      <c r="BI27" s="117">
        <f t="shared" si="34"/>
        <v>5661543</v>
      </c>
    </row>
    <row r="28" spans="2:61" ht="12.75">
      <c r="B28" s="76">
        <v>21</v>
      </c>
      <c r="C28" s="77" t="s">
        <v>27</v>
      </c>
      <c r="D28" s="77">
        <f>'Table 4 Formula'!U28</f>
        <v>5627.24</v>
      </c>
      <c r="E28" s="78">
        <f t="shared" si="0"/>
        <v>1657892</v>
      </c>
      <c r="F28" s="78">
        <f t="shared" si="9"/>
        <v>294.62</v>
      </c>
      <c r="G28" s="78">
        <f t="shared" si="1"/>
        <v>2687780</v>
      </c>
      <c r="H28" s="78">
        <f t="shared" si="10"/>
        <v>477.64</v>
      </c>
      <c r="I28" s="78">
        <v>77901</v>
      </c>
      <c r="J28" s="78">
        <f t="shared" si="11"/>
        <v>13.84</v>
      </c>
      <c r="K28" s="78">
        <f t="shared" si="12"/>
        <v>4423573</v>
      </c>
      <c r="L28" s="78">
        <f t="shared" si="13"/>
        <v>786.1</v>
      </c>
      <c r="M28" s="102">
        <f t="shared" si="2"/>
        <v>0.49805492</v>
      </c>
      <c r="N28" s="77">
        <f t="shared" si="3"/>
        <v>58</v>
      </c>
      <c r="O28" s="99">
        <f t="shared" si="4"/>
        <v>12.771</v>
      </c>
      <c r="P28" s="78">
        <f t="shared" si="5"/>
        <v>520977</v>
      </c>
      <c r="Q28" s="78">
        <f t="shared" si="14"/>
        <v>92.58</v>
      </c>
      <c r="R28" s="82">
        <f t="shared" si="6"/>
        <v>0.015</v>
      </c>
      <c r="S28" s="78">
        <f t="shared" si="7"/>
        <v>2330445</v>
      </c>
      <c r="T28" s="78">
        <f t="shared" si="15"/>
        <v>414.136415009845</v>
      </c>
      <c r="U28" s="78">
        <f t="shared" si="16"/>
        <v>77901</v>
      </c>
      <c r="V28" s="77">
        <f t="shared" si="17"/>
        <v>13.84</v>
      </c>
      <c r="W28" s="78">
        <f t="shared" si="18"/>
        <v>2929323</v>
      </c>
      <c r="X28" s="78">
        <f t="shared" si="19"/>
        <v>520.56</v>
      </c>
      <c r="Y28" s="80">
        <f t="shared" si="20"/>
        <v>0.662206</v>
      </c>
      <c r="Z28" s="77">
        <f t="shared" si="8"/>
        <v>59</v>
      </c>
      <c r="AA28" s="77"/>
      <c r="AB28" s="78">
        <v>61941235</v>
      </c>
      <c r="AC28" s="78">
        <v>21146650</v>
      </c>
      <c r="AD28" s="78">
        <f t="shared" si="21"/>
        <v>40794585</v>
      </c>
      <c r="AE28" s="99">
        <v>4.1</v>
      </c>
      <c r="AF28" s="78">
        <v>155642</v>
      </c>
      <c r="AG28" s="99">
        <v>9.07</v>
      </c>
      <c r="AH28" s="78">
        <v>365335</v>
      </c>
      <c r="AI28" s="173">
        <v>0</v>
      </c>
      <c r="AJ28" s="173">
        <v>0</v>
      </c>
      <c r="AK28" s="77">
        <v>0</v>
      </c>
      <c r="AL28" s="78">
        <v>0</v>
      </c>
      <c r="AM28" s="78">
        <f t="shared" si="22"/>
        <v>520977</v>
      </c>
      <c r="AN28" s="175">
        <v>0</v>
      </c>
      <c r="AO28" s="78">
        <v>0</v>
      </c>
      <c r="AP28" s="100">
        <v>0</v>
      </c>
      <c r="AQ28" s="100">
        <v>0</v>
      </c>
      <c r="AR28" s="77">
        <v>0</v>
      </c>
      <c r="AS28" s="78">
        <v>0</v>
      </c>
      <c r="AT28" s="78">
        <f t="shared" si="23"/>
        <v>0</v>
      </c>
      <c r="AU28" s="100">
        <f t="shared" si="24"/>
        <v>13.17</v>
      </c>
      <c r="AV28" s="78">
        <f t="shared" si="24"/>
        <v>520977</v>
      </c>
      <c r="AW28" s="78">
        <f t="shared" si="25"/>
        <v>0</v>
      </c>
      <c r="AX28" s="78">
        <f t="shared" si="26"/>
        <v>520977</v>
      </c>
      <c r="AY28" s="101">
        <f t="shared" si="27"/>
        <v>0</v>
      </c>
      <c r="AZ28" s="101">
        <f t="shared" si="28"/>
        <v>12.771</v>
      </c>
      <c r="BA28" s="101">
        <f t="shared" si="29"/>
        <v>12.771</v>
      </c>
      <c r="BB28" s="82">
        <v>0.015</v>
      </c>
      <c r="BC28" s="78">
        <v>2330445</v>
      </c>
      <c r="BD28" s="78">
        <v>0</v>
      </c>
      <c r="BE28" s="78">
        <f t="shared" si="30"/>
        <v>2330445</v>
      </c>
      <c r="BF28" s="78">
        <f t="shared" si="31"/>
        <v>155363000</v>
      </c>
      <c r="BG28" s="82">
        <f t="shared" si="32"/>
        <v>0.015</v>
      </c>
      <c r="BH28" s="82">
        <f t="shared" si="33"/>
        <v>0</v>
      </c>
      <c r="BI28" s="78">
        <f t="shared" si="34"/>
        <v>2929323</v>
      </c>
    </row>
    <row r="29" spans="2:61" ht="12.75">
      <c r="B29" s="76">
        <v>22</v>
      </c>
      <c r="C29" s="77" t="s">
        <v>28</v>
      </c>
      <c r="D29" s="77">
        <f>'Table 4 Formula'!U29</f>
        <v>5139.360000000001</v>
      </c>
      <c r="E29" s="78">
        <f t="shared" si="0"/>
        <v>1076603</v>
      </c>
      <c r="F29" s="78">
        <f t="shared" si="9"/>
        <v>209.48</v>
      </c>
      <c r="G29" s="78">
        <f t="shared" si="1"/>
        <v>1385038</v>
      </c>
      <c r="H29" s="78">
        <f t="shared" si="10"/>
        <v>269.5</v>
      </c>
      <c r="I29" s="78">
        <v>441419</v>
      </c>
      <c r="J29" s="78">
        <f t="shared" si="11"/>
        <v>85.89</v>
      </c>
      <c r="K29" s="78">
        <f t="shared" si="12"/>
        <v>2903060</v>
      </c>
      <c r="L29" s="78">
        <f t="shared" si="13"/>
        <v>564.87</v>
      </c>
      <c r="M29" s="102">
        <f t="shared" si="2"/>
        <v>0.35788867</v>
      </c>
      <c r="N29" s="77">
        <f t="shared" si="3"/>
        <v>66</v>
      </c>
      <c r="O29" s="99">
        <f t="shared" si="4"/>
        <v>56.964</v>
      </c>
      <c r="P29" s="78">
        <f t="shared" si="5"/>
        <v>1509039</v>
      </c>
      <c r="Q29" s="78">
        <f t="shared" si="14"/>
        <v>293.62</v>
      </c>
      <c r="R29" s="82">
        <f t="shared" si="6"/>
        <v>0.01</v>
      </c>
      <c r="S29" s="78">
        <f t="shared" si="7"/>
        <v>800600</v>
      </c>
      <c r="T29" s="78">
        <f t="shared" si="15"/>
        <v>155.7781513651505</v>
      </c>
      <c r="U29" s="78">
        <f t="shared" si="16"/>
        <v>441419</v>
      </c>
      <c r="V29" s="77">
        <f t="shared" si="17"/>
        <v>85.89</v>
      </c>
      <c r="W29" s="78">
        <f t="shared" si="18"/>
        <v>2751058</v>
      </c>
      <c r="X29" s="78">
        <f t="shared" si="19"/>
        <v>535.29</v>
      </c>
      <c r="Y29" s="80">
        <f t="shared" si="20"/>
        <v>0.947634</v>
      </c>
      <c r="Z29" s="77">
        <f t="shared" si="8"/>
        <v>38</v>
      </c>
      <c r="AA29" s="77"/>
      <c r="AB29" s="78">
        <v>42557446</v>
      </c>
      <c r="AC29" s="78">
        <v>16066228</v>
      </c>
      <c r="AD29" s="78">
        <f t="shared" si="21"/>
        <v>26491218</v>
      </c>
      <c r="AE29" s="99">
        <v>5.89</v>
      </c>
      <c r="AF29" s="78">
        <v>154728</v>
      </c>
      <c r="AG29" s="99">
        <v>23.98</v>
      </c>
      <c r="AH29" s="78">
        <v>628505</v>
      </c>
      <c r="AI29" s="173">
        <v>2.62</v>
      </c>
      <c r="AJ29" s="173">
        <v>7.93</v>
      </c>
      <c r="AK29" s="77">
        <v>7</v>
      </c>
      <c r="AL29" s="78">
        <v>190294</v>
      </c>
      <c r="AM29" s="78">
        <f t="shared" si="22"/>
        <v>973527</v>
      </c>
      <c r="AN29" s="175">
        <v>0</v>
      </c>
      <c r="AO29" s="78">
        <v>0</v>
      </c>
      <c r="AP29" s="173">
        <v>16</v>
      </c>
      <c r="AQ29" s="173">
        <v>32</v>
      </c>
      <c r="AR29" s="77">
        <v>4</v>
      </c>
      <c r="AS29" s="78">
        <v>535512</v>
      </c>
      <c r="AT29" s="78">
        <f t="shared" si="23"/>
        <v>535512</v>
      </c>
      <c r="AU29" s="100">
        <f t="shared" si="24"/>
        <v>29.87</v>
      </c>
      <c r="AV29" s="78">
        <f t="shared" si="24"/>
        <v>783233</v>
      </c>
      <c r="AW29" s="78">
        <f t="shared" si="25"/>
        <v>725806</v>
      </c>
      <c r="AX29" s="78">
        <f t="shared" si="26"/>
        <v>1509039</v>
      </c>
      <c r="AY29" s="101">
        <f t="shared" si="27"/>
        <v>20.215</v>
      </c>
      <c r="AZ29" s="101">
        <f t="shared" si="28"/>
        <v>36.749</v>
      </c>
      <c r="BA29" s="101">
        <f t="shared" si="29"/>
        <v>56.964</v>
      </c>
      <c r="BB29" s="82">
        <v>0.01</v>
      </c>
      <c r="BC29" s="78">
        <v>800600</v>
      </c>
      <c r="BD29" s="78">
        <v>0</v>
      </c>
      <c r="BE29" s="78">
        <f t="shared" si="30"/>
        <v>800600</v>
      </c>
      <c r="BF29" s="78">
        <f t="shared" si="31"/>
        <v>80060000</v>
      </c>
      <c r="BG29" s="82">
        <f t="shared" si="32"/>
        <v>0.01</v>
      </c>
      <c r="BH29" s="82">
        <f t="shared" si="33"/>
        <v>0</v>
      </c>
      <c r="BI29" s="78">
        <f t="shared" si="34"/>
        <v>2751058</v>
      </c>
    </row>
    <row r="30" spans="2:61" ht="12.75">
      <c r="B30" s="76">
        <v>23</v>
      </c>
      <c r="C30" s="77" t="s">
        <v>29</v>
      </c>
      <c r="D30" s="77">
        <f>'Table 4 Formula'!U30</f>
        <v>20338.489999999998</v>
      </c>
      <c r="E30" s="78">
        <f t="shared" si="0"/>
        <v>8042906</v>
      </c>
      <c r="F30" s="78">
        <f t="shared" si="9"/>
        <v>395.45</v>
      </c>
      <c r="G30" s="78">
        <f t="shared" si="1"/>
        <v>15681853</v>
      </c>
      <c r="H30" s="78">
        <f t="shared" si="10"/>
        <v>771.04</v>
      </c>
      <c r="I30" s="78">
        <v>576815</v>
      </c>
      <c r="J30" s="78">
        <f t="shared" si="11"/>
        <v>28.36</v>
      </c>
      <c r="K30" s="78">
        <f t="shared" si="12"/>
        <v>24301574</v>
      </c>
      <c r="L30" s="78">
        <f t="shared" si="13"/>
        <v>1194.86</v>
      </c>
      <c r="M30" s="102">
        <f t="shared" si="2"/>
        <v>0.75703587</v>
      </c>
      <c r="N30" s="77">
        <f t="shared" si="3"/>
        <v>33</v>
      </c>
      <c r="O30" s="99">
        <f t="shared" si="4"/>
        <v>36.594</v>
      </c>
      <c r="P30" s="78">
        <f t="shared" si="5"/>
        <v>7242100</v>
      </c>
      <c r="Q30" s="78">
        <f t="shared" si="14"/>
        <v>356.08</v>
      </c>
      <c r="R30" s="82">
        <f t="shared" si="6"/>
        <v>0.02</v>
      </c>
      <c r="S30" s="78">
        <f t="shared" si="7"/>
        <v>18129310</v>
      </c>
      <c r="T30" s="78">
        <f t="shared" si="15"/>
        <v>891.3793501877476</v>
      </c>
      <c r="U30" s="78">
        <f t="shared" si="16"/>
        <v>576815</v>
      </c>
      <c r="V30" s="77">
        <f t="shared" si="17"/>
        <v>28.36</v>
      </c>
      <c r="W30" s="78">
        <f t="shared" si="18"/>
        <v>25948225</v>
      </c>
      <c r="X30" s="78">
        <f t="shared" si="19"/>
        <v>1275.82</v>
      </c>
      <c r="Y30" s="80">
        <f t="shared" si="20"/>
        <v>1.067757</v>
      </c>
      <c r="Z30" s="77">
        <f t="shared" si="8"/>
        <v>22</v>
      </c>
      <c r="AA30" s="77"/>
      <c r="AB30" s="78">
        <v>275558850</v>
      </c>
      <c r="AC30" s="78">
        <v>77652704</v>
      </c>
      <c r="AD30" s="78">
        <f t="shared" si="21"/>
        <v>197906146</v>
      </c>
      <c r="AE30" s="99">
        <v>5.56</v>
      </c>
      <c r="AF30" s="78">
        <v>1082712</v>
      </c>
      <c r="AG30" s="99">
        <v>7.79</v>
      </c>
      <c r="AH30" s="78">
        <v>1516966</v>
      </c>
      <c r="AI30" s="173">
        <v>0</v>
      </c>
      <c r="AJ30" s="173">
        <v>0</v>
      </c>
      <c r="AK30" s="77">
        <v>0</v>
      </c>
      <c r="AL30" s="78">
        <v>0</v>
      </c>
      <c r="AM30" s="78">
        <f t="shared" si="22"/>
        <v>2599678</v>
      </c>
      <c r="AN30" s="173">
        <v>23.84</v>
      </c>
      <c r="AO30" s="78">
        <v>4642422</v>
      </c>
      <c r="AP30" s="100">
        <v>0</v>
      </c>
      <c r="AQ30" s="100">
        <v>0</v>
      </c>
      <c r="AR30" s="77">
        <v>0</v>
      </c>
      <c r="AS30" s="78">
        <v>0</v>
      </c>
      <c r="AT30" s="78">
        <f t="shared" si="23"/>
        <v>4642422</v>
      </c>
      <c r="AU30" s="100">
        <f t="shared" si="24"/>
        <v>37.19</v>
      </c>
      <c r="AV30" s="78">
        <f t="shared" si="24"/>
        <v>7242100</v>
      </c>
      <c r="AW30" s="78">
        <f t="shared" si="25"/>
        <v>0</v>
      </c>
      <c r="AX30" s="78">
        <f t="shared" si="26"/>
        <v>7242100</v>
      </c>
      <c r="AY30" s="101">
        <f t="shared" si="27"/>
        <v>23.458</v>
      </c>
      <c r="AZ30" s="101">
        <f t="shared" si="28"/>
        <v>13.136</v>
      </c>
      <c r="BA30" s="101">
        <f t="shared" si="29"/>
        <v>36.594</v>
      </c>
      <c r="BB30" s="82">
        <v>0.02</v>
      </c>
      <c r="BC30" s="78">
        <v>17505768</v>
      </c>
      <c r="BD30" s="78">
        <v>623542</v>
      </c>
      <c r="BE30" s="78">
        <f t="shared" si="30"/>
        <v>18129310</v>
      </c>
      <c r="BF30" s="78">
        <f t="shared" si="31"/>
        <v>906465500</v>
      </c>
      <c r="BG30" s="82">
        <f t="shared" si="32"/>
        <v>0.0193</v>
      </c>
      <c r="BH30" s="82">
        <f t="shared" si="33"/>
        <v>0.0007</v>
      </c>
      <c r="BI30" s="78">
        <f t="shared" si="34"/>
        <v>25948225</v>
      </c>
    </row>
    <row r="31" spans="2:61" ht="12.75">
      <c r="B31" s="76">
        <v>24</v>
      </c>
      <c r="C31" s="77" t="s">
        <v>30</v>
      </c>
      <c r="D31" s="77">
        <f>'Table 4 Formula'!U31</f>
        <v>7231.55</v>
      </c>
      <c r="E31" s="78">
        <f t="shared" si="0"/>
        <v>9475215</v>
      </c>
      <c r="F31" s="78">
        <f t="shared" si="9"/>
        <v>1310.26</v>
      </c>
      <c r="G31" s="78">
        <f t="shared" si="1"/>
        <v>8792725</v>
      </c>
      <c r="H31" s="78">
        <f t="shared" si="10"/>
        <v>1215.88</v>
      </c>
      <c r="I31" s="78">
        <v>150357</v>
      </c>
      <c r="J31" s="78">
        <f t="shared" si="11"/>
        <v>20.79</v>
      </c>
      <c r="K31" s="78">
        <f t="shared" si="12"/>
        <v>18418297</v>
      </c>
      <c r="L31" s="78">
        <f t="shared" si="13"/>
        <v>2546.94</v>
      </c>
      <c r="M31" s="102">
        <f t="shared" si="2"/>
        <v>1.61368273</v>
      </c>
      <c r="N31" s="77">
        <f t="shared" si="3"/>
        <v>6</v>
      </c>
      <c r="O31" s="99">
        <f t="shared" si="4"/>
        <v>31.884</v>
      </c>
      <c r="P31" s="78">
        <f t="shared" si="5"/>
        <v>7433770</v>
      </c>
      <c r="Q31" s="78">
        <f t="shared" si="14"/>
        <v>1027.96</v>
      </c>
      <c r="R31" s="82">
        <f t="shared" si="6"/>
        <v>0.0167</v>
      </c>
      <c r="S31" s="78">
        <f t="shared" si="7"/>
        <v>8487775</v>
      </c>
      <c r="T31" s="78">
        <f t="shared" si="15"/>
        <v>1173.7144872122851</v>
      </c>
      <c r="U31" s="78">
        <f t="shared" si="16"/>
        <v>150357</v>
      </c>
      <c r="V31" s="77">
        <f t="shared" si="17"/>
        <v>20.79</v>
      </c>
      <c r="W31" s="78">
        <f t="shared" si="18"/>
        <v>16071902</v>
      </c>
      <c r="X31" s="78">
        <f t="shared" si="19"/>
        <v>2222.47</v>
      </c>
      <c r="Y31" s="80">
        <f t="shared" si="20"/>
        <v>0.872604</v>
      </c>
      <c r="Z31" s="77">
        <f t="shared" si="8"/>
        <v>43</v>
      </c>
      <c r="AA31" s="77"/>
      <c r="AB31" s="78">
        <v>262583430</v>
      </c>
      <c r="AC31" s="78">
        <v>29433460</v>
      </c>
      <c r="AD31" s="78">
        <f t="shared" si="21"/>
        <v>233149970</v>
      </c>
      <c r="AE31" s="99">
        <v>3.93</v>
      </c>
      <c r="AF31" s="78">
        <v>904836</v>
      </c>
      <c r="AG31" s="99">
        <v>13.84</v>
      </c>
      <c r="AH31" s="78">
        <v>3186979</v>
      </c>
      <c r="AI31" s="173">
        <v>0</v>
      </c>
      <c r="AJ31" s="173">
        <v>0</v>
      </c>
      <c r="AK31" s="77">
        <v>0</v>
      </c>
      <c r="AL31" s="78">
        <v>0</v>
      </c>
      <c r="AM31" s="78">
        <f t="shared" si="22"/>
        <v>4091815</v>
      </c>
      <c r="AN31" s="173">
        <v>14.5</v>
      </c>
      <c r="AO31" s="78">
        <v>3341955</v>
      </c>
      <c r="AP31" s="100">
        <v>0</v>
      </c>
      <c r="AQ31" s="100">
        <v>0</v>
      </c>
      <c r="AR31" s="77">
        <v>0</v>
      </c>
      <c r="AS31" s="78">
        <v>0</v>
      </c>
      <c r="AT31" s="78">
        <f t="shared" si="23"/>
        <v>3341955</v>
      </c>
      <c r="AU31" s="100">
        <f t="shared" si="24"/>
        <v>32.269999999999996</v>
      </c>
      <c r="AV31" s="78">
        <f t="shared" si="24"/>
        <v>7433770</v>
      </c>
      <c r="AW31" s="78">
        <f t="shared" si="25"/>
        <v>0</v>
      </c>
      <c r="AX31" s="78">
        <f t="shared" si="26"/>
        <v>7433770</v>
      </c>
      <c r="AY31" s="101">
        <f t="shared" si="27"/>
        <v>14.334</v>
      </c>
      <c r="AZ31" s="101">
        <f t="shared" si="28"/>
        <v>17.55</v>
      </c>
      <c r="BA31" s="101">
        <f t="shared" si="29"/>
        <v>31.884</v>
      </c>
      <c r="BB31" s="82">
        <v>0.0167</v>
      </c>
      <c r="BC31" s="78">
        <v>8487775</v>
      </c>
      <c r="BD31" s="78">
        <v>0</v>
      </c>
      <c r="BE31" s="78">
        <f t="shared" si="30"/>
        <v>8487775</v>
      </c>
      <c r="BF31" s="78">
        <f t="shared" si="31"/>
        <v>508250000</v>
      </c>
      <c r="BG31" s="82">
        <f t="shared" si="32"/>
        <v>0.0167</v>
      </c>
      <c r="BH31" s="82">
        <f t="shared" si="33"/>
        <v>0</v>
      </c>
      <c r="BI31" s="78">
        <f t="shared" si="34"/>
        <v>16071902</v>
      </c>
    </row>
    <row r="32" spans="2:61" ht="12.75">
      <c r="B32" s="115">
        <v>25</v>
      </c>
      <c r="C32" s="116" t="s">
        <v>31</v>
      </c>
      <c r="D32" s="116">
        <f>'Table 4 Formula'!U32</f>
        <v>3825.34</v>
      </c>
      <c r="E32" s="117">
        <f t="shared" si="0"/>
        <v>1865028</v>
      </c>
      <c r="F32" s="117">
        <f t="shared" si="9"/>
        <v>487.55</v>
      </c>
      <c r="G32" s="117">
        <f t="shared" si="1"/>
        <v>1857918</v>
      </c>
      <c r="H32" s="117">
        <f t="shared" si="10"/>
        <v>485.69</v>
      </c>
      <c r="I32" s="117">
        <v>131725</v>
      </c>
      <c r="J32" s="117">
        <f t="shared" si="11"/>
        <v>34.43</v>
      </c>
      <c r="K32" s="117">
        <f t="shared" si="12"/>
        <v>3854671</v>
      </c>
      <c r="L32" s="117">
        <f t="shared" si="13"/>
        <v>1007.67</v>
      </c>
      <c r="M32" s="128">
        <f t="shared" si="2"/>
        <v>0.63843659</v>
      </c>
      <c r="N32" s="116">
        <f t="shared" si="3"/>
        <v>43</v>
      </c>
      <c r="O32" s="125">
        <f t="shared" si="4"/>
        <v>34.51</v>
      </c>
      <c r="P32" s="117">
        <f t="shared" si="5"/>
        <v>1583722</v>
      </c>
      <c r="Q32" s="117">
        <f t="shared" si="14"/>
        <v>414.01</v>
      </c>
      <c r="R32" s="122">
        <f t="shared" si="6"/>
        <v>0.024</v>
      </c>
      <c r="S32" s="117">
        <f t="shared" si="7"/>
        <v>2577458</v>
      </c>
      <c r="T32" s="117">
        <f t="shared" si="15"/>
        <v>673.7853367282385</v>
      </c>
      <c r="U32" s="117">
        <f t="shared" si="16"/>
        <v>131725</v>
      </c>
      <c r="V32" s="116">
        <f t="shared" si="17"/>
        <v>34.43</v>
      </c>
      <c r="W32" s="117">
        <f t="shared" si="18"/>
        <v>4292905</v>
      </c>
      <c r="X32" s="117">
        <f t="shared" si="19"/>
        <v>1122.23</v>
      </c>
      <c r="Y32" s="120">
        <f t="shared" si="20"/>
        <v>1.113688</v>
      </c>
      <c r="Z32" s="116">
        <f t="shared" si="8"/>
        <v>15</v>
      </c>
      <c r="AA32" s="116"/>
      <c r="AB32" s="117">
        <v>59719820</v>
      </c>
      <c r="AC32" s="117">
        <v>13828380</v>
      </c>
      <c r="AD32" s="117">
        <f t="shared" si="21"/>
        <v>45891440</v>
      </c>
      <c r="AE32" s="125">
        <v>5.21</v>
      </c>
      <c r="AF32" s="117">
        <v>238136</v>
      </c>
      <c r="AG32" s="125">
        <v>21.4</v>
      </c>
      <c r="AH32" s="117">
        <v>978178</v>
      </c>
      <c r="AI32" s="174">
        <v>0</v>
      </c>
      <c r="AJ32" s="174">
        <v>0</v>
      </c>
      <c r="AK32" s="116">
        <v>0</v>
      </c>
      <c r="AL32" s="117">
        <v>0</v>
      </c>
      <c r="AM32" s="117">
        <f t="shared" si="22"/>
        <v>1216314</v>
      </c>
      <c r="AN32" s="176">
        <v>0</v>
      </c>
      <c r="AO32" s="117">
        <v>0</v>
      </c>
      <c r="AP32" s="126">
        <v>11.63</v>
      </c>
      <c r="AQ32" s="126">
        <v>24.39</v>
      </c>
      <c r="AR32" s="116">
        <v>4</v>
      </c>
      <c r="AS32" s="117">
        <v>367408</v>
      </c>
      <c r="AT32" s="117">
        <f t="shared" si="23"/>
        <v>367408</v>
      </c>
      <c r="AU32" s="126">
        <f t="shared" si="24"/>
        <v>26.61</v>
      </c>
      <c r="AV32" s="117">
        <f t="shared" si="24"/>
        <v>1216314</v>
      </c>
      <c r="AW32" s="117">
        <f t="shared" si="25"/>
        <v>367408</v>
      </c>
      <c r="AX32" s="117">
        <f t="shared" si="26"/>
        <v>1583722</v>
      </c>
      <c r="AY32" s="127">
        <f t="shared" si="27"/>
        <v>8.006</v>
      </c>
      <c r="AZ32" s="127">
        <f t="shared" si="28"/>
        <v>26.504</v>
      </c>
      <c r="BA32" s="127">
        <f t="shared" si="29"/>
        <v>34.51</v>
      </c>
      <c r="BB32" s="122">
        <v>0.024</v>
      </c>
      <c r="BC32" s="117">
        <v>2577458</v>
      </c>
      <c r="BD32" s="117">
        <v>0</v>
      </c>
      <c r="BE32" s="117">
        <f t="shared" si="30"/>
        <v>2577458</v>
      </c>
      <c r="BF32" s="117">
        <f t="shared" si="31"/>
        <v>107394083</v>
      </c>
      <c r="BG32" s="122">
        <f t="shared" si="32"/>
        <v>0.024</v>
      </c>
      <c r="BH32" s="122">
        <f t="shared" si="33"/>
        <v>0</v>
      </c>
      <c r="BI32" s="117">
        <f t="shared" si="34"/>
        <v>4292905</v>
      </c>
    </row>
    <row r="33" spans="2:61" ht="12.75">
      <c r="B33" s="76">
        <v>26</v>
      </c>
      <c r="C33" s="77" t="s">
        <v>32</v>
      </c>
      <c r="D33" s="77">
        <f>'Table 4 Formula'!U33</f>
        <v>71060.83</v>
      </c>
      <c r="E33" s="78">
        <f t="shared" si="0"/>
        <v>63446531</v>
      </c>
      <c r="F33" s="78">
        <f t="shared" si="9"/>
        <v>892.85</v>
      </c>
      <c r="G33" s="78">
        <f t="shared" si="1"/>
        <v>116370428</v>
      </c>
      <c r="H33" s="78">
        <f t="shared" si="10"/>
        <v>1637.62</v>
      </c>
      <c r="I33" s="78">
        <v>1995294</v>
      </c>
      <c r="J33" s="78">
        <f t="shared" si="11"/>
        <v>28.08</v>
      </c>
      <c r="K33" s="78">
        <f t="shared" si="12"/>
        <v>181812253</v>
      </c>
      <c r="L33" s="78">
        <f t="shared" si="13"/>
        <v>2558.54</v>
      </c>
      <c r="M33" s="102">
        <f t="shared" si="2"/>
        <v>1.62103222</v>
      </c>
      <c r="N33" s="77">
        <f t="shared" si="3"/>
        <v>5</v>
      </c>
      <c r="O33" s="99">
        <f t="shared" si="4"/>
        <v>13.587</v>
      </c>
      <c r="P33" s="78">
        <f t="shared" si="5"/>
        <v>21211468</v>
      </c>
      <c r="Q33" s="78">
        <f t="shared" si="14"/>
        <v>298.5</v>
      </c>
      <c r="R33" s="82">
        <f t="shared" si="6"/>
        <v>0.02</v>
      </c>
      <c r="S33" s="78">
        <f t="shared" si="7"/>
        <v>134532287</v>
      </c>
      <c r="T33" s="78">
        <f t="shared" si="15"/>
        <v>1893.1989254839832</v>
      </c>
      <c r="U33" s="78">
        <f t="shared" si="16"/>
        <v>1995294</v>
      </c>
      <c r="V33" s="77">
        <f t="shared" si="17"/>
        <v>28.08</v>
      </c>
      <c r="W33" s="78">
        <f t="shared" si="18"/>
        <v>157739049</v>
      </c>
      <c r="X33" s="78">
        <f t="shared" si="19"/>
        <v>2219.77</v>
      </c>
      <c r="Y33" s="80">
        <f t="shared" si="20"/>
        <v>0.867592</v>
      </c>
      <c r="Z33" s="77">
        <f t="shared" si="8"/>
        <v>44</v>
      </c>
      <c r="AA33" s="77"/>
      <c r="AB33" s="78">
        <v>2270600090</v>
      </c>
      <c r="AC33" s="78">
        <v>709415760</v>
      </c>
      <c r="AD33" s="78">
        <f t="shared" si="21"/>
        <v>1561184330</v>
      </c>
      <c r="AE33" s="99">
        <v>2.91</v>
      </c>
      <c r="AF33" s="78">
        <v>4436853</v>
      </c>
      <c r="AG33" s="99">
        <v>7</v>
      </c>
      <c r="AH33" s="78">
        <v>16709327</v>
      </c>
      <c r="AI33" s="173">
        <v>0</v>
      </c>
      <c r="AJ33" s="173">
        <v>0</v>
      </c>
      <c r="AK33" s="77">
        <v>0</v>
      </c>
      <c r="AL33" s="78">
        <v>0</v>
      </c>
      <c r="AM33" s="78">
        <f t="shared" si="22"/>
        <v>21146180</v>
      </c>
      <c r="AN33" s="173">
        <v>4</v>
      </c>
      <c r="AO33" s="78">
        <v>65288</v>
      </c>
      <c r="AP33" s="100">
        <v>0</v>
      </c>
      <c r="AQ33" s="100">
        <v>0</v>
      </c>
      <c r="AR33" s="77">
        <v>0</v>
      </c>
      <c r="AS33" s="78">
        <v>0</v>
      </c>
      <c r="AT33" s="78">
        <f t="shared" si="23"/>
        <v>65288</v>
      </c>
      <c r="AU33" s="100">
        <f t="shared" si="24"/>
        <v>13.91</v>
      </c>
      <c r="AV33" s="78">
        <f t="shared" si="24"/>
        <v>21211468</v>
      </c>
      <c r="AW33" s="78">
        <f t="shared" si="25"/>
        <v>0</v>
      </c>
      <c r="AX33" s="78">
        <f t="shared" si="26"/>
        <v>21211468</v>
      </c>
      <c r="AY33" s="101">
        <f t="shared" si="27"/>
        <v>0.042</v>
      </c>
      <c r="AZ33" s="101">
        <f t="shared" si="28"/>
        <v>13.545</v>
      </c>
      <c r="BA33" s="101">
        <f t="shared" si="29"/>
        <v>13.587</v>
      </c>
      <c r="BB33" s="82">
        <v>0.02</v>
      </c>
      <c r="BC33" s="78">
        <v>134532287</v>
      </c>
      <c r="BD33" s="78">
        <v>0</v>
      </c>
      <c r="BE33" s="78">
        <f t="shared" si="30"/>
        <v>134532287</v>
      </c>
      <c r="BF33" s="78">
        <f t="shared" si="31"/>
        <v>6726614350</v>
      </c>
      <c r="BG33" s="82">
        <f t="shared" si="32"/>
        <v>0.02</v>
      </c>
      <c r="BH33" s="82">
        <f t="shared" si="33"/>
        <v>0</v>
      </c>
      <c r="BI33" s="78">
        <f t="shared" si="34"/>
        <v>157739049</v>
      </c>
    </row>
    <row r="34" spans="2:61" ht="12.75">
      <c r="B34" s="76">
        <v>27</v>
      </c>
      <c r="C34" s="77" t="s">
        <v>33</v>
      </c>
      <c r="D34" s="77">
        <f>'Table 4 Formula'!U34</f>
        <v>8502.85</v>
      </c>
      <c r="E34" s="78">
        <f t="shared" si="0"/>
        <v>3763133</v>
      </c>
      <c r="F34" s="78">
        <f t="shared" si="9"/>
        <v>442.57</v>
      </c>
      <c r="G34" s="78">
        <f t="shared" si="1"/>
        <v>5097493</v>
      </c>
      <c r="H34" s="78">
        <f t="shared" si="10"/>
        <v>599.5</v>
      </c>
      <c r="I34" s="78">
        <v>305170</v>
      </c>
      <c r="J34" s="78">
        <f t="shared" si="11"/>
        <v>35.89</v>
      </c>
      <c r="K34" s="78">
        <f t="shared" si="12"/>
        <v>9165796</v>
      </c>
      <c r="L34" s="78">
        <f t="shared" si="13"/>
        <v>1077.97</v>
      </c>
      <c r="M34" s="102">
        <f t="shared" si="2"/>
        <v>0.68297705</v>
      </c>
      <c r="N34" s="77">
        <f t="shared" si="3"/>
        <v>38</v>
      </c>
      <c r="O34" s="99">
        <f t="shared" si="4"/>
        <v>34.387</v>
      </c>
      <c r="P34" s="78">
        <f t="shared" si="5"/>
        <v>3184118</v>
      </c>
      <c r="Q34" s="78">
        <f t="shared" si="14"/>
        <v>374.48</v>
      </c>
      <c r="R34" s="82">
        <f t="shared" si="6"/>
        <v>0.02</v>
      </c>
      <c r="S34" s="78">
        <f t="shared" si="7"/>
        <v>5893055</v>
      </c>
      <c r="T34" s="78">
        <f t="shared" si="15"/>
        <v>693.0682065425121</v>
      </c>
      <c r="U34" s="78">
        <f t="shared" si="16"/>
        <v>305170</v>
      </c>
      <c r="V34" s="77">
        <f t="shared" si="17"/>
        <v>35.89</v>
      </c>
      <c r="W34" s="78">
        <f t="shared" si="18"/>
        <v>9382343</v>
      </c>
      <c r="X34" s="78">
        <f t="shared" si="19"/>
        <v>1103.44</v>
      </c>
      <c r="Y34" s="80">
        <f t="shared" si="20"/>
        <v>1.023628</v>
      </c>
      <c r="Z34" s="77">
        <f t="shared" si="8"/>
        <v>29</v>
      </c>
      <c r="AA34" s="77"/>
      <c r="AB34" s="78">
        <v>120929610</v>
      </c>
      <c r="AC34" s="78">
        <v>28332835</v>
      </c>
      <c r="AD34" s="78">
        <f t="shared" si="21"/>
        <v>92596775</v>
      </c>
      <c r="AE34" s="99">
        <v>6.36</v>
      </c>
      <c r="AF34" s="78">
        <v>578926</v>
      </c>
      <c r="AG34" s="99">
        <v>10.57</v>
      </c>
      <c r="AH34" s="78">
        <v>962059</v>
      </c>
      <c r="AI34" s="173">
        <v>4</v>
      </c>
      <c r="AJ34" s="173">
        <v>11.84</v>
      </c>
      <c r="AK34" s="77">
        <v>7</v>
      </c>
      <c r="AL34" s="78">
        <v>982460</v>
      </c>
      <c r="AM34" s="78">
        <f t="shared" si="22"/>
        <v>2523445</v>
      </c>
      <c r="AN34" s="175">
        <v>0</v>
      </c>
      <c r="AO34" s="78">
        <v>0</v>
      </c>
      <c r="AP34" s="173">
        <v>5.5</v>
      </c>
      <c r="AQ34" s="173">
        <v>43.25</v>
      </c>
      <c r="AR34" s="77">
        <v>4</v>
      </c>
      <c r="AS34" s="78">
        <v>660673</v>
      </c>
      <c r="AT34" s="78">
        <f t="shared" si="23"/>
        <v>660673</v>
      </c>
      <c r="AU34" s="100">
        <f t="shared" si="24"/>
        <v>16.93</v>
      </c>
      <c r="AV34" s="78">
        <f t="shared" si="24"/>
        <v>1540985</v>
      </c>
      <c r="AW34" s="78">
        <f t="shared" si="25"/>
        <v>1643133</v>
      </c>
      <c r="AX34" s="78">
        <f t="shared" si="26"/>
        <v>3184118</v>
      </c>
      <c r="AY34" s="101">
        <f t="shared" si="27"/>
        <v>7.135</v>
      </c>
      <c r="AZ34" s="101">
        <f t="shared" si="28"/>
        <v>27.252</v>
      </c>
      <c r="BA34" s="101">
        <f t="shared" si="29"/>
        <v>34.387</v>
      </c>
      <c r="BB34" s="82">
        <v>0.02</v>
      </c>
      <c r="BC34" s="78">
        <v>5893055</v>
      </c>
      <c r="BD34" s="78">
        <v>0</v>
      </c>
      <c r="BE34" s="78">
        <f t="shared" si="30"/>
        <v>5893055</v>
      </c>
      <c r="BF34" s="78">
        <f t="shared" si="31"/>
        <v>294652750</v>
      </c>
      <c r="BG34" s="82">
        <f t="shared" si="32"/>
        <v>0.02</v>
      </c>
      <c r="BH34" s="82">
        <f t="shared" si="33"/>
        <v>0</v>
      </c>
      <c r="BI34" s="78">
        <f t="shared" si="34"/>
        <v>9382343</v>
      </c>
    </row>
    <row r="35" spans="2:61" ht="12.75">
      <c r="B35" s="76">
        <v>28</v>
      </c>
      <c r="C35" s="77" t="s">
        <v>34</v>
      </c>
      <c r="D35" s="77">
        <f>'Table 4 Formula'!U35</f>
        <v>37975.68</v>
      </c>
      <c r="E35" s="78">
        <f t="shared" si="0"/>
        <v>22727224</v>
      </c>
      <c r="F35" s="78">
        <f t="shared" si="9"/>
        <v>598.47</v>
      </c>
      <c r="G35" s="78">
        <f t="shared" si="1"/>
        <v>55761521</v>
      </c>
      <c r="H35" s="78">
        <f t="shared" si="10"/>
        <v>1468.35</v>
      </c>
      <c r="I35" s="78">
        <v>2014127</v>
      </c>
      <c r="J35" s="78">
        <f t="shared" si="11"/>
        <v>53.04</v>
      </c>
      <c r="K35" s="78">
        <f t="shared" si="12"/>
        <v>80502872</v>
      </c>
      <c r="L35" s="78">
        <f t="shared" si="13"/>
        <v>2119.85</v>
      </c>
      <c r="M35" s="102">
        <f t="shared" si="2"/>
        <v>1.34308831</v>
      </c>
      <c r="N35" s="77">
        <f t="shared" si="3"/>
        <v>11</v>
      </c>
      <c r="O35" s="99">
        <f t="shared" si="4"/>
        <v>33.514</v>
      </c>
      <c r="P35" s="78">
        <f t="shared" si="5"/>
        <v>18742103</v>
      </c>
      <c r="Q35" s="78">
        <f t="shared" si="14"/>
        <v>493.53</v>
      </c>
      <c r="R35" s="82">
        <f t="shared" si="6"/>
        <v>0.015</v>
      </c>
      <c r="S35" s="78">
        <f t="shared" si="7"/>
        <v>48348140</v>
      </c>
      <c r="T35" s="78">
        <f t="shared" si="15"/>
        <v>1273.1342796231693</v>
      </c>
      <c r="U35" s="78">
        <f t="shared" si="16"/>
        <v>2014127</v>
      </c>
      <c r="V35" s="77">
        <f t="shared" si="17"/>
        <v>53.04</v>
      </c>
      <c r="W35" s="78">
        <f t="shared" si="18"/>
        <v>69104370</v>
      </c>
      <c r="X35" s="78">
        <f t="shared" si="19"/>
        <v>1819.7</v>
      </c>
      <c r="Y35" s="80">
        <f t="shared" si="20"/>
        <v>0.85841</v>
      </c>
      <c r="Z35" s="77">
        <f t="shared" si="8"/>
        <v>45</v>
      </c>
      <c r="AA35" s="77"/>
      <c r="AB35" s="78">
        <v>783185323</v>
      </c>
      <c r="AC35" s="78">
        <v>223952456</v>
      </c>
      <c r="AD35" s="78">
        <f t="shared" si="21"/>
        <v>559232867</v>
      </c>
      <c r="AE35" s="99">
        <v>4.59</v>
      </c>
      <c r="AF35" s="78">
        <v>2442414</v>
      </c>
      <c r="AG35" s="99">
        <v>28.97</v>
      </c>
      <c r="AH35" s="78">
        <v>15416362</v>
      </c>
      <c r="AI35" s="173">
        <v>0</v>
      </c>
      <c r="AJ35" s="173">
        <v>0</v>
      </c>
      <c r="AK35" s="77">
        <v>0</v>
      </c>
      <c r="AL35" s="78">
        <v>0</v>
      </c>
      <c r="AM35" s="78">
        <f t="shared" si="22"/>
        <v>17858776</v>
      </c>
      <c r="AN35" s="173">
        <v>1.6</v>
      </c>
      <c r="AO35" s="78">
        <v>883327</v>
      </c>
      <c r="AP35" s="100">
        <v>0</v>
      </c>
      <c r="AQ35" s="100">
        <v>0</v>
      </c>
      <c r="AR35" s="77">
        <v>0</v>
      </c>
      <c r="AS35" s="78">
        <v>0</v>
      </c>
      <c r="AT35" s="78">
        <f t="shared" si="23"/>
        <v>883327</v>
      </c>
      <c r="AU35" s="100">
        <f t="shared" si="24"/>
        <v>35.160000000000004</v>
      </c>
      <c r="AV35" s="78">
        <f t="shared" si="24"/>
        <v>18742103</v>
      </c>
      <c r="AW35" s="78">
        <f t="shared" si="25"/>
        <v>0</v>
      </c>
      <c r="AX35" s="78">
        <f t="shared" si="26"/>
        <v>18742103</v>
      </c>
      <c r="AY35" s="101">
        <f t="shared" si="27"/>
        <v>1.58</v>
      </c>
      <c r="AZ35" s="101">
        <f t="shared" si="28"/>
        <v>31.934</v>
      </c>
      <c r="BA35" s="101">
        <f t="shared" si="29"/>
        <v>33.514</v>
      </c>
      <c r="BB35" s="82">
        <v>0.015</v>
      </c>
      <c r="BC35" s="78">
        <v>40535388</v>
      </c>
      <c r="BD35" s="78">
        <v>7812752</v>
      </c>
      <c r="BE35" s="78">
        <f t="shared" si="30"/>
        <v>48348140</v>
      </c>
      <c r="BF35" s="78">
        <f t="shared" si="31"/>
        <v>3223209333</v>
      </c>
      <c r="BG35" s="82">
        <f t="shared" si="32"/>
        <v>0.0126</v>
      </c>
      <c r="BH35" s="82">
        <f t="shared" si="33"/>
        <v>0.0024</v>
      </c>
      <c r="BI35" s="78">
        <f t="shared" si="34"/>
        <v>69104370</v>
      </c>
    </row>
    <row r="36" spans="2:61" ht="12.75">
      <c r="B36" s="76">
        <v>29</v>
      </c>
      <c r="C36" s="77" t="s">
        <v>35</v>
      </c>
      <c r="D36" s="77">
        <f>'Table 4 Formula'!U36</f>
        <v>20499.08</v>
      </c>
      <c r="E36" s="78">
        <f t="shared" si="0"/>
        <v>9910919</v>
      </c>
      <c r="F36" s="78">
        <f t="shared" si="9"/>
        <v>483.48</v>
      </c>
      <c r="G36" s="78">
        <f t="shared" si="1"/>
        <v>15173844</v>
      </c>
      <c r="H36" s="78">
        <f t="shared" si="10"/>
        <v>740.22</v>
      </c>
      <c r="I36" s="78">
        <v>1132082</v>
      </c>
      <c r="J36" s="78">
        <f t="shared" si="11"/>
        <v>55.23</v>
      </c>
      <c r="K36" s="78">
        <f t="shared" si="12"/>
        <v>26216845</v>
      </c>
      <c r="L36" s="78">
        <f t="shared" si="13"/>
        <v>1278.93</v>
      </c>
      <c r="M36" s="102">
        <f t="shared" si="2"/>
        <v>0.8103007</v>
      </c>
      <c r="N36" s="77">
        <f t="shared" si="3"/>
        <v>29</v>
      </c>
      <c r="O36" s="99">
        <f t="shared" si="4"/>
        <v>42.441</v>
      </c>
      <c r="P36" s="78">
        <f t="shared" si="5"/>
        <v>10350021</v>
      </c>
      <c r="Q36" s="78">
        <f t="shared" si="14"/>
        <v>504.9</v>
      </c>
      <c r="R36" s="82">
        <f t="shared" si="6"/>
        <v>0.02</v>
      </c>
      <c r="S36" s="78">
        <f t="shared" si="7"/>
        <v>17542016</v>
      </c>
      <c r="T36" s="78">
        <f t="shared" si="15"/>
        <v>855.7465017942268</v>
      </c>
      <c r="U36" s="78">
        <f t="shared" si="16"/>
        <v>1132082</v>
      </c>
      <c r="V36" s="77">
        <f t="shared" si="17"/>
        <v>55.23</v>
      </c>
      <c r="W36" s="78">
        <f t="shared" si="18"/>
        <v>29024119</v>
      </c>
      <c r="X36" s="78">
        <f t="shared" si="19"/>
        <v>1415.87</v>
      </c>
      <c r="Y36" s="80">
        <f t="shared" si="20"/>
        <v>1.107074</v>
      </c>
      <c r="Z36" s="77">
        <f t="shared" si="8"/>
        <v>17</v>
      </c>
      <c r="AA36" s="77"/>
      <c r="AB36" s="78">
        <v>352193750</v>
      </c>
      <c r="AC36" s="78">
        <v>108322720</v>
      </c>
      <c r="AD36" s="78">
        <f t="shared" si="21"/>
        <v>243871030</v>
      </c>
      <c r="AE36" s="99">
        <v>4.11</v>
      </c>
      <c r="AF36" s="78">
        <v>981735</v>
      </c>
      <c r="AG36" s="99">
        <v>22.02</v>
      </c>
      <c r="AH36" s="78">
        <v>5259807</v>
      </c>
      <c r="AI36" s="173">
        <v>0</v>
      </c>
      <c r="AJ36" s="173">
        <v>0</v>
      </c>
      <c r="AK36" s="77">
        <v>0</v>
      </c>
      <c r="AL36" s="78">
        <v>0</v>
      </c>
      <c r="AM36" s="78">
        <f t="shared" si="22"/>
        <v>6241542</v>
      </c>
      <c r="AN36" s="173">
        <v>17.2</v>
      </c>
      <c r="AO36" s="78">
        <v>4108479</v>
      </c>
      <c r="AP36" s="100">
        <v>0</v>
      </c>
      <c r="AQ36" s="100">
        <v>0</v>
      </c>
      <c r="AR36" s="77">
        <v>0</v>
      </c>
      <c r="AS36" s="78">
        <v>0</v>
      </c>
      <c r="AT36" s="78">
        <f t="shared" si="23"/>
        <v>4108479</v>
      </c>
      <c r="AU36" s="100">
        <f t="shared" si="24"/>
        <v>43.33</v>
      </c>
      <c r="AV36" s="78">
        <f t="shared" si="24"/>
        <v>10350021</v>
      </c>
      <c r="AW36" s="78">
        <f t="shared" si="25"/>
        <v>0</v>
      </c>
      <c r="AX36" s="78">
        <f t="shared" si="26"/>
        <v>10350021</v>
      </c>
      <c r="AY36" s="101">
        <f t="shared" si="27"/>
        <v>16.847</v>
      </c>
      <c r="AZ36" s="101">
        <f t="shared" si="28"/>
        <v>25.594</v>
      </c>
      <c r="BA36" s="101">
        <f t="shared" si="29"/>
        <v>42.441</v>
      </c>
      <c r="BB36" s="82">
        <v>0.02</v>
      </c>
      <c r="BC36" s="78">
        <v>17542016</v>
      </c>
      <c r="BD36" s="78">
        <v>0</v>
      </c>
      <c r="BE36" s="78">
        <f t="shared" si="30"/>
        <v>17542016</v>
      </c>
      <c r="BF36" s="78">
        <f t="shared" si="31"/>
        <v>877100800</v>
      </c>
      <c r="BG36" s="82">
        <f t="shared" si="32"/>
        <v>0.02</v>
      </c>
      <c r="BH36" s="82">
        <f t="shared" si="33"/>
        <v>0</v>
      </c>
      <c r="BI36" s="78">
        <f t="shared" si="34"/>
        <v>29024119</v>
      </c>
    </row>
    <row r="37" spans="2:61" ht="12.75">
      <c r="B37" s="115">
        <v>30</v>
      </c>
      <c r="C37" s="116" t="s">
        <v>36</v>
      </c>
      <c r="D37" s="116">
        <f>'Table 4 Formula'!U37</f>
        <v>3561.75</v>
      </c>
      <c r="E37" s="117">
        <f t="shared" si="0"/>
        <v>1541499</v>
      </c>
      <c r="F37" s="117">
        <f t="shared" si="9"/>
        <v>432.79</v>
      </c>
      <c r="G37" s="117">
        <f t="shared" si="1"/>
        <v>2097919</v>
      </c>
      <c r="H37" s="117">
        <f t="shared" si="10"/>
        <v>589.01</v>
      </c>
      <c r="I37" s="117">
        <v>80205</v>
      </c>
      <c r="J37" s="117">
        <f t="shared" si="11"/>
        <v>22.52</v>
      </c>
      <c r="K37" s="117">
        <f t="shared" si="12"/>
        <v>3719623</v>
      </c>
      <c r="L37" s="117">
        <f t="shared" si="13"/>
        <v>1044.32</v>
      </c>
      <c r="M37" s="128">
        <f t="shared" si="2"/>
        <v>0.66165718</v>
      </c>
      <c r="N37" s="116">
        <f t="shared" si="3"/>
        <v>41</v>
      </c>
      <c r="O37" s="125">
        <f t="shared" si="4"/>
        <v>41.222</v>
      </c>
      <c r="P37" s="117">
        <f t="shared" si="5"/>
        <v>1563573</v>
      </c>
      <c r="Q37" s="117">
        <f t="shared" si="14"/>
        <v>438.99</v>
      </c>
      <c r="R37" s="122">
        <f t="shared" si="6"/>
        <v>0.02</v>
      </c>
      <c r="S37" s="117">
        <f t="shared" si="7"/>
        <v>2425340</v>
      </c>
      <c r="T37" s="117">
        <f t="shared" si="15"/>
        <v>680.9405488874851</v>
      </c>
      <c r="U37" s="117">
        <f t="shared" si="16"/>
        <v>80205</v>
      </c>
      <c r="V37" s="116">
        <f t="shared" si="17"/>
        <v>22.52</v>
      </c>
      <c r="W37" s="117">
        <f t="shared" si="18"/>
        <v>4069118</v>
      </c>
      <c r="X37" s="117">
        <f t="shared" si="19"/>
        <v>1142.45</v>
      </c>
      <c r="Y37" s="120">
        <f t="shared" si="20"/>
        <v>1.093965</v>
      </c>
      <c r="Z37" s="116">
        <f t="shared" si="8"/>
        <v>19</v>
      </c>
      <c r="AA37" s="116"/>
      <c r="AB37" s="117">
        <v>50629793</v>
      </c>
      <c r="AC37" s="117">
        <v>12699198</v>
      </c>
      <c r="AD37" s="117">
        <f t="shared" si="21"/>
        <v>37930595</v>
      </c>
      <c r="AE37" s="125">
        <v>5.06</v>
      </c>
      <c r="AF37" s="117">
        <v>176671</v>
      </c>
      <c r="AG37" s="125">
        <v>23.48</v>
      </c>
      <c r="AH37" s="117">
        <v>831770</v>
      </c>
      <c r="AI37" s="174">
        <v>0</v>
      </c>
      <c r="AJ37" s="174">
        <v>0</v>
      </c>
      <c r="AK37" s="116">
        <v>0</v>
      </c>
      <c r="AL37" s="117">
        <v>0</v>
      </c>
      <c r="AM37" s="117">
        <f t="shared" si="22"/>
        <v>1008441</v>
      </c>
      <c r="AN37" s="174">
        <v>16</v>
      </c>
      <c r="AO37" s="117">
        <v>555132</v>
      </c>
      <c r="AP37" s="126">
        <v>0</v>
      </c>
      <c r="AQ37" s="126">
        <v>0</v>
      </c>
      <c r="AR37" s="116">
        <v>0</v>
      </c>
      <c r="AS37" s="117">
        <v>0</v>
      </c>
      <c r="AT37" s="117">
        <f t="shared" si="23"/>
        <v>555132</v>
      </c>
      <c r="AU37" s="126">
        <f t="shared" si="24"/>
        <v>44.54</v>
      </c>
      <c r="AV37" s="117">
        <f t="shared" si="24"/>
        <v>1563573</v>
      </c>
      <c r="AW37" s="117">
        <f t="shared" si="25"/>
        <v>0</v>
      </c>
      <c r="AX37" s="117">
        <f t="shared" si="26"/>
        <v>1563573</v>
      </c>
      <c r="AY37" s="127">
        <f t="shared" si="27"/>
        <v>14.635</v>
      </c>
      <c r="AZ37" s="127">
        <f t="shared" si="28"/>
        <v>26.586</v>
      </c>
      <c r="BA37" s="127">
        <f t="shared" si="29"/>
        <v>41.222</v>
      </c>
      <c r="BB37" s="122">
        <v>0.02</v>
      </c>
      <c r="BC37" s="117">
        <v>2425340</v>
      </c>
      <c r="BD37" s="117">
        <v>0</v>
      </c>
      <c r="BE37" s="117">
        <f t="shared" si="30"/>
        <v>2425340</v>
      </c>
      <c r="BF37" s="117">
        <f t="shared" si="31"/>
        <v>121267000</v>
      </c>
      <c r="BG37" s="122">
        <f t="shared" si="32"/>
        <v>0.02</v>
      </c>
      <c r="BH37" s="122">
        <f t="shared" si="33"/>
        <v>0</v>
      </c>
      <c r="BI37" s="117">
        <f t="shared" si="34"/>
        <v>4069118</v>
      </c>
    </row>
    <row r="38" spans="2:61" ht="12.75">
      <c r="B38" s="76">
        <v>31</v>
      </c>
      <c r="C38" s="77" t="s">
        <v>37</v>
      </c>
      <c r="D38" s="77">
        <f>'Table 4 Formula'!U38</f>
        <v>8730.85</v>
      </c>
      <c r="E38" s="78">
        <f t="shared" si="0"/>
        <v>5155256</v>
      </c>
      <c r="F38" s="78">
        <f t="shared" si="9"/>
        <v>590.46</v>
      </c>
      <c r="G38" s="78">
        <f t="shared" si="1"/>
        <v>7787291</v>
      </c>
      <c r="H38" s="78">
        <f t="shared" si="10"/>
        <v>891.93</v>
      </c>
      <c r="I38" s="78">
        <v>286167</v>
      </c>
      <c r="J38" s="78">
        <f t="shared" si="11"/>
        <v>32.78</v>
      </c>
      <c r="K38" s="78">
        <f t="shared" si="12"/>
        <v>13228714</v>
      </c>
      <c r="L38" s="78">
        <f t="shared" si="13"/>
        <v>1515.17</v>
      </c>
      <c r="M38" s="102">
        <f t="shared" si="2"/>
        <v>0.95997694</v>
      </c>
      <c r="N38" s="77">
        <f t="shared" si="3"/>
        <v>20</v>
      </c>
      <c r="O38" s="99">
        <f t="shared" si="4"/>
        <v>44.76</v>
      </c>
      <c r="P38" s="78">
        <f t="shared" si="5"/>
        <v>5677861</v>
      </c>
      <c r="Q38" s="78">
        <f t="shared" si="14"/>
        <v>650.32</v>
      </c>
      <c r="R38" s="82">
        <f t="shared" si="6"/>
        <v>0.015</v>
      </c>
      <c r="S38" s="78">
        <f t="shared" si="7"/>
        <v>6751986</v>
      </c>
      <c r="T38" s="78">
        <f t="shared" si="15"/>
        <v>773.3480703482478</v>
      </c>
      <c r="U38" s="78">
        <f t="shared" si="16"/>
        <v>286167</v>
      </c>
      <c r="V38" s="77">
        <f t="shared" si="17"/>
        <v>32.78</v>
      </c>
      <c r="W38" s="78">
        <f t="shared" si="18"/>
        <v>12716014</v>
      </c>
      <c r="X38" s="78">
        <f t="shared" si="19"/>
        <v>1456.45</v>
      </c>
      <c r="Y38" s="80">
        <f t="shared" si="20"/>
        <v>0.961245</v>
      </c>
      <c r="Z38" s="77">
        <f t="shared" si="8"/>
        <v>37</v>
      </c>
      <c r="AA38" s="77"/>
      <c r="AB38" s="78">
        <v>167186070</v>
      </c>
      <c r="AC38" s="78">
        <v>40334290</v>
      </c>
      <c r="AD38" s="78">
        <f t="shared" si="21"/>
        <v>126851780</v>
      </c>
      <c r="AE38" s="99">
        <v>4.99</v>
      </c>
      <c r="AF38" s="78">
        <v>625193</v>
      </c>
      <c r="AG38" s="99">
        <v>22.37</v>
      </c>
      <c r="AH38" s="78">
        <v>2802156</v>
      </c>
      <c r="AI38" s="173">
        <v>3.01</v>
      </c>
      <c r="AJ38" s="173">
        <v>3.33</v>
      </c>
      <c r="AK38" s="77">
        <v>3</v>
      </c>
      <c r="AL38" s="78">
        <v>359255</v>
      </c>
      <c r="AM38" s="78">
        <f t="shared" si="22"/>
        <v>3786604</v>
      </c>
      <c r="AN38" s="175">
        <v>0</v>
      </c>
      <c r="AO38" s="78">
        <v>0</v>
      </c>
      <c r="AP38" s="173">
        <v>17</v>
      </c>
      <c r="AQ38" s="173">
        <v>28</v>
      </c>
      <c r="AR38" s="77">
        <v>3</v>
      </c>
      <c r="AS38" s="78">
        <v>1891257</v>
      </c>
      <c r="AT38" s="78">
        <f t="shared" si="23"/>
        <v>1891257</v>
      </c>
      <c r="AU38" s="100">
        <f t="shared" si="24"/>
        <v>27.36</v>
      </c>
      <c r="AV38" s="78">
        <f t="shared" si="24"/>
        <v>3427349</v>
      </c>
      <c r="AW38" s="78">
        <f t="shared" si="25"/>
        <v>2250512</v>
      </c>
      <c r="AX38" s="78">
        <f t="shared" si="26"/>
        <v>5677861</v>
      </c>
      <c r="AY38" s="101">
        <f t="shared" si="27"/>
        <v>14.909</v>
      </c>
      <c r="AZ38" s="101">
        <f t="shared" si="28"/>
        <v>29.851</v>
      </c>
      <c r="BA38" s="101">
        <f t="shared" si="29"/>
        <v>44.76</v>
      </c>
      <c r="BB38" s="82">
        <v>0.015</v>
      </c>
      <c r="BC38" s="78">
        <v>6751986</v>
      </c>
      <c r="BD38" s="78">
        <v>0</v>
      </c>
      <c r="BE38" s="78">
        <f t="shared" si="30"/>
        <v>6751986</v>
      </c>
      <c r="BF38" s="78">
        <f t="shared" si="31"/>
        <v>450132400</v>
      </c>
      <c r="BG38" s="82">
        <f t="shared" si="32"/>
        <v>0.015</v>
      </c>
      <c r="BH38" s="82">
        <f t="shared" si="33"/>
        <v>0</v>
      </c>
      <c r="BI38" s="78">
        <f t="shared" si="34"/>
        <v>12716014</v>
      </c>
    </row>
    <row r="39" spans="2:61" ht="12.75">
      <c r="B39" s="76">
        <v>32</v>
      </c>
      <c r="C39" s="77" t="s">
        <v>38</v>
      </c>
      <c r="D39" s="77">
        <f>'Table 4 Formula'!U39</f>
        <v>23811.58</v>
      </c>
      <c r="E39" s="78">
        <f t="shared" si="0"/>
        <v>3860980</v>
      </c>
      <c r="F39" s="78">
        <f t="shared" si="9"/>
        <v>162.15</v>
      </c>
      <c r="G39" s="78">
        <f t="shared" si="1"/>
        <v>10660400</v>
      </c>
      <c r="H39" s="78">
        <f t="shared" si="10"/>
        <v>447.7</v>
      </c>
      <c r="I39" s="78">
        <v>616424</v>
      </c>
      <c r="J39" s="78">
        <f t="shared" si="11"/>
        <v>25.89</v>
      </c>
      <c r="K39" s="78">
        <f t="shared" si="12"/>
        <v>15137804</v>
      </c>
      <c r="L39" s="78">
        <f t="shared" si="13"/>
        <v>635.73</v>
      </c>
      <c r="M39" s="102">
        <f t="shared" si="2"/>
        <v>0.40278394</v>
      </c>
      <c r="N39" s="77">
        <f t="shared" si="3"/>
        <v>65</v>
      </c>
      <c r="O39" s="99">
        <f t="shared" si="4"/>
        <v>53.964</v>
      </c>
      <c r="P39" s="78">
        <f t="shared" si="5"/>
        <v>5126783</v>
      </c>
      <c r="Q39" s="78">
        <f t="shared" si="14"/>
        <v>215.31</v>
      </c>
      <c r="R39" s="82">
        <f t="shared" si="6"/>
        <v>0.025</v>
      </c>
      <c r="S39" s="78">
        <f t="shared" si="7"/>
        <v>15405203</v>
      </c>
      <c r="T39" s="78">
        <f t="shared" si="15"/>
        <v>646.9626543051742</v>
      </c>
      <c r="U39" s="78">
        <f t="shared" si="16"/>
        <v>616424</v>
      </c>
      <c r="V39" s="77">
        <f t="shared" si="17"/>
        <v>25.89</v>
      </c>
      <c r="W39" s="78">
        <f t="shared" si="18"/>
        <v>21148410</v>
      </c>
      <c r="X39" s="78">
        <f t="shared" si="19"/>
        <v>888.16</v>
      </c>
      <c r="Y39" s="80">
        <f t="shared" si="20"/>
        <v>1.397071</v>
      </c>
      <c r="Z39" s="77">
        <f t="shared" si="8"/>
        <v>4</v>
      </c>
      <c r="AA39" s="77"/>
      <c r="AB39" s="78">
        <v>198530970</v>
      </c>
      <c r="AC39" s="78">
        <v>103526530</v>
      </c>
      <c r="AD39" s="78">
        <f t="shared" si="21"/>
        <v>95004440</v>
      </c>
      <c r="AE39" s="99">
        <v>3.29</v>
      </c>
      <c r="AF39" s="78">
        <v>287042</v>
      </c>
      <c r="AG39" s="99">
        <v>19.18</v>
      </c>
      <c r="AH39" s="78">
        <v>1673269</v>
      </c>
      <c r="AI39" s="173">
        <v>0</v>
      </c>
      <c r="AJ39" s="173">
        <v>0</v>
      </c>
      <c r="AK39" s="77">
        <v>0</v>
      </c>
      <c r="AL39" s="78">
        <v>0</v>
      </c>
      <c r="AM39" s="78">
        <f t="shared" si="22"/>
        <v>1960311</v>
      </c>
      <c r="AN39" s="175">
        <v>0</v>
      </c>
      <c r="AO39" s="78">
        <v>0</v>
      </c>
      <c r="AP39" s="173">
        <v>18.8</v>
      </c>
      <c r="AQ39" s="173">
        <v>60.35</v>
      </c>
      <c r="AR39" s="77">
        <v>10</v>
      </c>
      <c r="AS39" s="78">
        <v>3166472</v>
      </c>
      <c r="AT39" s="78">
        <f t="shared" si="23"/>
        <v>3166472</v>
      </c>
      <c r="AU39" s="100">
        <f t="shared" si="24"/>
        <v>22.47</v>
      </c>
      <c r="AV39" s="78">
        <f t="shared" si="24"/>
        <v>1960311</v>
      </c>
      <c r="AW39" s="78">
        <f t="shared" si="25"/>
        <v>3166472</v>
      </c>
      <c r="AX39" s="78">
        <f t="shared" si="26"/>
        <v>5126783</v>
      </c>
      <c r="AY39" s="101">
        <f t="shared" si="27"/>
        <v>33.33</v>
      </c>
      <c r="AZ39" s="101">
        <f t="shared" si="28"/>
        <v>20.634</v>
      </c>
      <c r="BA39" s="101">
        <f t="shared" si="29"/>
        <v>53.964</v>
      </c>
      <c r="BB39" s="82">
        <v>0.025</v>
      </c>
      <c r="BC39" s="78">
        <v>15405203</v>
      </c>
      <c r="BD39" s="78">
        <v>0</v>
      </c>
      <c r="BE39" s="78">
        <f t="shared" si="30"/>
        <v>15405203</v>
      </c>
      <c r="BF39" s="78">
        <f t="shared" si="31"/>
        <v>616208120</v>
      </c>
      <c r="BG39" s="82">
        <f t="shared" si="32"/>
        <v>0.025</v>
      </c>
      <c r="BH39" s="82">
        <f t="shared" si="33"/>
        <v>0</v>
      </c>
      <c r="BI39" s="78">
        <f t="shared" si="34"/>
        <v>21148410</v>
      </c>
    </row>
    <row r="40" spans="2:61" ht="12.75">
      <c r="B40" s="76">
        <v>33</v>
      </c>
      <c r="C40" s="77" t="s">
        <v>39</v>
      </c>
      <c r="D40" s="77">
        <f>'Table 4 Formula'!U40</f>
        <v>3706.63</v>
      </c>
      <c r="E40" s="78">
        <f aca="true" t="shared" si="35" ref="E40:E73">ROUND(BA$75*AD40/1000,0)</f>
        <v>1556214</v>
      </c>
      <c r="F40" s="78">
        <f t="shared" si="9"/>
        <v>419.85</v>
      </c>
      <c r="G40" s="78">
        <f aca="true" t="shared" si="36" ref="G40:G73">ROUND(BB$75*BF40,0)</f>
        <v>1423524</v>
      </c>
      <c r="H40" s="78">
        <f t="shared" si="10"/>
        <v>384.05</v>
      </c>
      <c r="I40" s="78">
        <v>71511</v>
      </c>
      <c r="J40" s="78">
        <f t="shared" si="11"/>
        <v>19.29</v>
      </c>
      <c r="K40" s="78">
        <f t="shared" si="12"/>
        <v>3051249</v>
      </c>
      <c r="L40" s="78">
        <f t="shared" si="13"/>
        <v>823.19</v>
      </c>
      <c r="M40" s="102">
        <f aca="true" t="shared" si="37" ref="M40:M71">ROUND(L40/L$75,8)</f>
        <v>0.52155429</v>
      </c>
      <c r="N40" s="77">
        <f aca="true" t="shared" si="38" ref="N40:N71">RANK(M40,M$8:M$73,0)</f>
        <v>54</v>
      </c>
      <c r="O40" s="99">
        <f aca="true" t="shared" si="39" ref="O40:O73">BA40</f>
        <v>9.44</v>
      </c>
      <c r="P40" s="78">
        <f aca="true" t="shared" si="40" ref="P40:P73">AX40</f>
        <v>361468</v>
      </c>
      <c r="Q40" s="78">
        <f t="shared" si="14"/>
        <v>97.52</v>
      </c>
      <c r="R40" s="82">
        <f aca="true" t="shared" si="41" ref="R40:R73">BB40</f>
        <v>0.015</v>
      </c>
      <c r="S40" s="78">
        <f aca="true" t="shared" si="42" ref="S40:S73">BE40</f>
        <v>1234269</v>
      </c>
      <c r="T40" s="78">
        <f t="shared" si="15"/>
        <v>332.9895349684214</v>
      </c>
      <c r="U40" s="78">
        <f t="shared" si="16"/>
        <v>71511</v>
      </c>
      <c r="V40" s="77">
        <f t="shared" si="17"/>
        <v>19.29</v>
      </c>
      <c r="W40" s="78">
        <f t="shared" si="18"/>
        <v>1667248</v>
      </c>
      <c r="X40" s="78">
        <f t="shared" si="19"/>
        <v>449.8</v>
      </c>
      <c r="Y40" s="80">
        <f t="shared" si="20"/>
        <v>0.546411</v>
      </c>
      <c r="Z40" s="77">
        <f aca="true" t="shared" si="43" ref="Z40:Z71">RANK(Y40,Y$8:Y$73,0)</f>
        <v>64</v>
      </c>
      <c r="AA40" s="77"/>
      <c r="AB40" s="78">
        <v>48037125</v>
      </c>
      <c r="AC40" s="78">
        <v>9744455</v>
      </c>
      <c r="AD40" s="78">
        <f t="shared" si="21"/>
        <v>38292670</v>
      </c>
      <c r="AE40" s="99">
        <v>4.76</v>
      </c>
      <c r="AF40" s="78">
        <v>180734</v>
      </c>
      <c r="AG40" s="99">
        <v>4.76</v>
      </c>
      <c r="AH40" s="78">
        <v>180734</v>
      </c>
      <c r="AI40" s="173">
        <v>0</v>
      </c>
      <c r="AJ40" s="173">
        <v>0</v>
      </c>
      <c r="AK40" s="77">
        <v>0</v>
      </c>
      <c r="AL40" s="78">
        <v>0</v>
      </c>
      <c r="AM40" s="78">
        <f t="shared" si="22"/>
        <v>361468</v>
      </c>
      <c r="AN40" s="175">
        <v>0</v>
      </c>
      <c r="AO40" s="78">
        <v>0</v>
      </c>
      <c r="AP40" s="100">
        <v>0</v>
      </c>
      <c r="AQ40" s="100">
        <v>0</v>
      </c>
      <c r="AR40" s="77">
        <v>0</v>
      </c>
      <c r="AS40" s="78">
        <v>0</v>
      </c>
      <c r="AT40" s="78">
        <f t="shared" si="23"/>
        <v>0</v>
      </c>
      <c r="AU40" s="100">
        <f t="shared" si="24"/>
        <v>9.52</v>
      </c>
      <c r="AV40" s="78">
        <f t="shared" si="24"/>
        <v>361468</v>
      </c>
      <c r="AW40" s="78">
        <f t="shared" si="25"/>
        <v>0</v>
      </c>
      <c r="AX40" s="78">
        <f t="shared" si="26"/>
        <v>361468</v>
      </c>
      <c r="AY40" s="101">
        <f t="shared" si="27"/>
        <v>0</v>
      </c>
      <c r="AZ40" s="101">
        <f t="shared" si="28"/>
        <v>9.44</v>
      </c>
      <c r="BA40" s="101">
        <f t="shared" si="29"/>
        <v>9.44</v>
      </c>
      <c r="BB40" s="82">
        <v>0.015</v>
      </c>
      <c r="BC40" s="78">
        <v>1234269</v>
      </c>
      <c r="BD40" s="78">
        <v>0</v>
      </c>
      <c r="BE40" s="78">
        <f t="shared" si="30"/>
        <v>1234269</v>
      </c>
      <c r="BF40" s="78">
        <f t="shared" si="31"/>
        <v>82284600</v>
      </c>
      <c r="BG40" s="82">
        <f t="shared" si="32"/>
        <v>0.015</v>
      </c>
      <c r="BH40" s="82">
        <f t="shared" si="33"/>
        <v>0</v>
      </c>
      <c r="BI40" s="78">
        <f t="shared" si="34"/>
        <v>1667248</v>
      </c>
    </row>
    <row r="41" spans="2:61" ht="12.75">
      <c r="B41" s="76">
        <v>34</v>
      </c>
      <c r="C41" s="77" t="s">
        <v>40</v>
      </c>
      <c r="D41" s="77">
        <f>'Table 4 Formula'!U41</f>
        <v>7725.2</v>
      </c>
      <c r="E41" s="78">
        <f t="shared" si="35"/>
        <v>3961807</v>
      </c>
      <c r="F41" s="78">
        <f t="shared" si="9"/>
        <v>512.84</v>
      </c>
      <c r="G41" s="78">
        <f t="shared" si="36"/>
        <v>4825689</v>
      </c>
      <c r="H41" s="78">
        <f t="shared" si="10"/>
        <v>624.67</v>
      </c>
      <c r="I41" s="78">
        <v>478620</v>
      </c>
      <c r="J41" s="78">
        <f t="shared" si="11"/>
        <v>61.96</v>
      </c>
      <c r="K41" s="78">
        <f t="shared" si="12"/>
        <v>9266116</v>
      </c>
      <c r="L41" s="78">
        <f t="shared" si="13"/>
        <v>1199.47</v>
      </c>
      <c r="M41" s="102">
        <f t="shared" si="37"/>
        <v>0.75995666</v>
      </c>
      <c r="N41" s="77">
        <f t="shared" si="38"/>
        <v>32</v>
      </c>
      <c r="O41" s="99">
        <f t="shared" si="39"/>
        <v>27.74</v>
      </c>
      <c r="P41" s="78">
        <f t="shared" si="40"/>
        <v>2704197</v>
      </c>
      <c r="Q41" s="78">
        <f t="shared" si="14"/>
        <v>350.05</v>
      </c>
      <c r="R41" s="82">
        <f t="shared" si="41"/>
        <v>0.015</v>
      </c>
      <c r="S41" s="78">
        <f t="shared" si="42"/>
        <v>4184123</v>
      </c>
      <c r="T41" s="78">
        <f t="shared" si="15"/>
        <v>541.6200227825817</v>
      </c>
      <c r="U41" s="78">
        <f t="shared" si="16"/>
        <v>478620</v>
      </c>
      <c r="V41" s="77">
        <f t="shared" si="17"/>
        <v>61.96</v>
      </c>
      <c r="W41" s="78">
        <f t="shared" si="18"/>
        <v>7366940</v>
      </c>
      <c r="X41" s="78">
        <f t="shared" si="19"/>
        <v>953.62</v>
      </c>
      <c r="Y41" s="80">
        <f t="shared" si="20"/>
        <v>0.795034</v>
      </c>
      <c r="Z41" s="77">
        <f t="shared" si="43"/>
        <v>48</v>
      </c>
      <c r="AA41" s="77"/>
      <c r="AB41" s="78">
        <v>125240270</v>
      </c>
      <c r="AC41" s="78">
        <v>27754860</v>
      </c>
      <c r="AD41" s="78">
        <f t="shared" si="21"/>
        <v>97485410</v>
      </c>
      <c r="AE41" s="99">
        <v>5.57</v>
      </c>
      <c r="AF41" s="78">
        <v>521932</v>
      </c>
      <c r="AG41" s="99">
        <v>23.29</v>
      </c>
      <c r="AH41" s="78">
        <v>2182265</v>
      </c>
      <c r="AI41" s="173">
        <v>0</v>
      </c>
      <c r="AJ41" s="173">
        <v>0</v>
      </c>
      <c r="AK41" s="77">
        <v>0</v>
      </c>
      <c r="AL41" s="78">
        <v>0</v>
      </c>
      <c r="AM41" s="78">
        <f t="shared" si="22"/>
        <v>2704197</v>
      </c>
      <c r="AN41" s="175">
        <v>0</v>
      </c>
      <c r="AO41" s="78">
        <v>0</v>
      </c>
      <c r="AP41" s="100">
        <v>0</v>
      </c>
      <c r="AQ41" s="100">
        <v>0</v>
      </c>
      <c r="AR41" s="77">
        <v>0</v>
      </c>
      <c r="AS41" s="78">
        <v>0</v>
      </c>
      <c r="AT41" s="78">
        <f t="shared" si="23"/>
        <v>0</v>
      </c>
      <c r="AU41" s="100">
        <f t="shared" si="24"/>
        <v>28.86</v>
      </c>
      <c r="AV41" s="78">
        <f t="shared" si="24"/>
        <v>2704197</v>
      </c>
      <c r="AW41" s="78">
        <f t="shared" si="25"/>
        <v>0</v>
      </c>
      <c r="AX41" s="78">
        <f t="shared" si="26"/>
        <v>2704197</v>
      </c>
      <c r="AY41" s="101">
        <f t="shared" si="27"/>
        <v>0</v>
      </c>
      <c r="AZ41" s="101">
        <f t="shared" si="28"/>
        <v>27.74</v>
      </c>
      <c r="BA41" s="101">
        <f t="shared" si="29"/>
        <v>27.74</v>
      </c>
      <c r="BB41" s="82">
        <v>0.015</v>
      </c>
      <c r="BC41" s="78">
        <v>4184123</v>
      </c>
      <c r="BD41" s="78">
        <v>0</v>
      </c>
      <c r="BE41" s="78">
        <f t="shared" si="30"/>
        <v>4184123</v>
      </c>
      <c r="BF41" s="78">
        <f t="shared" si="31"/>
        <v>278941533</v>
      </c>
      <c r="BG41" s="82">
        <f t="shared" si="32"/>
        <v>0.015</v>
      </c>
      <c r="BH41" s="82">
        <f t="shared" si="33"/>
        <v>0</v>
      </c>
      <c r="BI41" s="78">
        <f t="shared" si="34"/>
        <v>7366940</v>
      </c>
    </row>
    <row r="42" spans="2:61" ht="12.75">
      <c r="B42" s="115">
        <v>35</v>
      </c>
      <c r="C42" s="116" t="s">
        <v>41</v>
      </c>
      <c r="D42" s="116">
        <f>'Table 4 Formula'!U42</f>
        <v>9236.11</v>
      </c>
      <c r="E42" s="117">
        <f t="shared" si="35"/>
        <v>3858317</v>
      </c>
      <c r="F42" s="117">
        <f t="shared" si="9"/>
        <v>417.74</v>
      </c>
      <c r="G42" s="117">
        <f t="shared" si="36"/>
        <v>6911120</v>
      </c>
      <c r="H42" s="117">
        <f t="shared" si="10"/>
        <v>748.27</v>
      </c>
      <c r="I42" s="117">
        <v>514521</v>
      </c>
      <c r="J42" s="117">
        <f t="shared" si="11"/>
        <v>55.71</v>
      </c>
      <c r="K42" s="117">
        <f t="shared" si="12"/>
        <v>11283958</v>
      </c>
      <c r="L42" s="117">
        <f t="shared" si="13"/>
        <v>1221.72</v>
      </c>
      <c r="M42" s="128">
        <f t="shared" si="37"/>
        <v>0.77405375</v>
      </c>
      <c r="N42" s="116">
        <f t="shared" si="38"/>
        <v>30</v>
      </c>
      <c r="O42" s="125">
        <f t="shared" si="39"/>
        <v>51.584</v>
      </c>
      <c r="P42" s="117">
        <f t="shared" si="40"/>
        <v>4897292</v>
      </c>
      <c r="Q42" s="117">
        <f t="shared" si="14"/>
        <v>530.23</v>
      </c>
      <c r="R42" s="122">
        <f t="shared" si="41"/>
        <v>0.015</v>
      </c>
      <c r="S42" s="117">
        <f t="shared" si="42"/>
        <v>5992301</v>
      </c>
      <c r="T42" s="117">
        <f t="shared" si="15"/>
        <v>648.7905622605188</v>
      </c>
      <c r="U42" s="117">
        <f t="shared" si="16"/>
        <v>514521</v>
      </c>
      <c r="V42" s="116">
        <f t="shared" si="17"/>
        <v>55.71</v>
      </c>
      <c r="W42" s="117">
        <f t="shared" si="18"/>
        <v>11404114</v>
      </c>
      <c r="X42" s="117">
        <f t="shared" si="19"/>
        <v>1234.73</v>
      </c>
      <c r="Y42" s="120">
        <f t="shared" si="20"/>
        <v>1.010649</v>
      </c>
      <c r="Z42" s="116">
        <f t="shared" si="43"/>
        <v>30</v>
      </c>
      <c r="AA42" s="116"/>
      <c r="AB42" s="117">
        <v>130100950</v>
      </c>
      <c r="AC42" s="117">
        <v>35162040</v>
      </c>
      <c r="AD42" s="117">
        <f t="shared" si="21"/>
        <v>94938910</v>
      </c>
      <c r="AE42" s="125">
        <v>4.65</v>
      </c>
      <c r="AF42" s="117">
        <v>436741</v>
      </c>
      <c r="AG42" s="125">
        <v>7</v>
      </c>
      <c r="AH42" s="117">
        <v>657457</v>
      </c>
      <c r="AI42" s="174">
        <v>6.98</v>
      </c>
      <c r="AJ42" s="174">
        <v>7.07</v>
      </c>
      <c r="AK42" s="116">
        <v>5</v>
      </c>
      <c r="AL42" s="117">
        <v>652991</v>
      </c>
      <c r="AM42" s="117">
        <f t="shared" si="22"/>
        <v>1747189</v>
      </c>
      <c r="AN42" s="176">
        <v>0</v>
      </c>
      <c r="AO42" s="117">
        <v>0</v>
      </c>
      <c r="AP42" s="174">
        <v>27</v>
      </c>
      <c r="AQ42" s="174">
        <v>55</v>
      </c>
      <c r="AR42" s="116">
        <v>3</v>
      </c>
      <c r="AS42" s="117">
        <v>3150103</v>
      </c>
      <c r="AT42" s="117">
        <f t="shared" si="23"/>
        <v>3150103</v>
      </c>
      <c r="AU42" s="126">
        <f t="shared" si="24"/>
        <v>11.65</v>
      </c>
      <c r="AV42" s="117">
        <f t="shared" si="24"/>
        <v>1094198</v>
      </c>
      <c r="AW42" s="117">
        <f t="shared" si="25"/>
        <v>3803094</v>
      </c>
      <c r="AX42" s="117">
        <f t="shared" si="26"/>
        <v>4897292</v>
      </c>
      <c r="AY42" s="127">
        <f t="shared" si="27"/>
        <v>33.18</v>
      </c>
      <c r="AZ42" s="127">
        <f t="shared" si="28"/>
        <v>18.403</v>
      </c>
      <c r="BA42" s="127">
        <f t="shared" si="29"/>
        <v>51.584</v>
      </c>
      <c r="BB42" s="122">
        <v>0.015</v>
      </c>
      <c r="BC42" s="117">
        <v>5992301</v>
      </c>
      <c r="BD42" s="117">
        <v>0</v>
      </c>
      <c r="BE42" s="117">
        <f t="shared" si="30"/>
        <v>5992301</v>
      </c>
      <c r="BF42" s="117">
        <f t="shared" si="31"/>
        <v>399486733</v>
      </c>
      <c r="BG42" s="122">
        <f t="shared" si="32"/>
        <v>0.015</v>
      </c>
      <c r="BH42" s="122">
        <f t="shared" si="33"/>
        <v>0</v>
      </c>
      <c r="BI42" s="117">
        <f t="shared" si="34"/>
        <v>11404114</v>
      </c>
    </row>
    <row r="43" spans="2:61" ht="12.75">
      <c r="B43" s="76">
        <v>36</v>
      </c>
      <c r="C43" s="77" t="s">
        <v>42</v>
      </c>
      <c r="D43" s="77">
        <f>'Table 4 Formula'!U43</f>
        <v>102520.41</v>
      </c>
      <c r="E43" s="78">
        <f t="shared" si="35"/>
        <v>61853074</v>
      </c>
      <c r="F43" s="78">
        <f t="shared" si="9"/>
        <v>603.32</v>
      </c>
      <c r="G43" s="78">
        <f t="shared" si="36"/>
        <v>93350833</v>
      </c>
      <c r="H43" s="78">
        <f t="shared" si="10"/>
        <v>910.56</v>
      </c>
      <c r="I43" s="78">
        <v>3491664</v>
      </c>
      <c r="J43" s="78">
        <f t="shared" si="11"/>
        <v>34.06</v>
      </c>
      <c r="K43" s="78">
        <f t="shared" si="12"/>
        <v>158695571</v>
      </c>
      <c r="L43" s="78">
        <f t="shared" si="13"/>
        <v>1547.94</v>
      </c>
      <c r="M43" s="102">
        <f t="shared" si="37"/>
        <v>0.98073926</v>
      </c>
      <c r="N43" s="77">
        <f t="shared" si="38"/>
        <v>19</v>
      </c>
      <c r="O43" s="99">
        <f t="shared" si="39"/>
        <v>49.77</v>
      </c>
      <c r="P43" s="78">
        <f t="shared" si="40"/>
        <v>75749391</v>
      </c>
      <c r="Q43" s="78">
        <f t="shared" si="14"/>
        <v>738.87</v>
      </c>
      <c r="R43" s="82">
        <f t="shared" si="41"/>
        <v>0.015</v>
      </c>
      <c r="S43" s="78">
        <f t="shared" si="42"/>
        <v>80940029</v>
      </c>
      <c r="T43" s="78">
        <f t="shared" si="15"/>
        <v>789.501612410641</v>
      </c>
      <c r="U43" s="78">
        <f t="shared" si="16"/>
        <v>3491664</v>
      </c>
      <c r="V43" s="77">
        <f t="shared" si="17"/>
        <v>34.06</v>
      </c>
      <c r="W43" s="78">
        <f t="shared" si="18"/>
        <v>160181084</v>
      </c>
      <c r="X43" s="78">
        <f t="shared" si="19"/>
        <v>1562.43</v>
      </c>
      <c r="Y43" s="80">
        <f t="shared" si="20"/>
        <v>1.009361</v>
      </c>
      <c r="Z43" s="77">
        <f t="shared" si="43"/>
        <v>32</v>
      </c>
      <c r="AA43" s="77"/>
      <c r="AB43" s="78">
        <v>1988809675</v>
      </c>
      <c r="AC43" s="78">
        <v>466834441</v>
      </c>
      <c r="AD43" s="78">
        <f t="shared" si="21"/>
        <v>1521975234</v>
      </c>
      <c r="AE43" s="99">
        <v>27.65</v>
      </c>
      <c r="AF43" s="78">
        <v>40987684</v>
      </c>
      <c r="AG43" s="99">
        <v>14.26</v>
      </c>
      <c r="AH43" s="78">
        <v>21138676</v>
      </c>
      <c r="AI43" s="173">
        <v>0</v>
      </c>
      <c r="AJ43" s="173">
        <v>0</v>
      </c>
      <c r="AK43" s="77">
        <v>7</v>
      </c>
      <c r="AL43" s="78">
        <v>0</v>
      </c>
      <c r="AM43" s="78">
        <f t="shared" si="22"/>
        <v>62126360</v>
      </c>
      <c r="AN43" s="173">
        <v>9.19</v>
      </c>
      <c r="AO43" s="78">
        <v>13623031</v>
      </c>
      <c r="AP43" s="100">
        <v>0</v>
      </c>
      <c r="AQ43" s="100">
        <v>0</v>
      </c>
      <c r="AR43" s="77">
        <v>7</v>
      </c>
      <c r="AS43" s="78">
        <v>0</v>
      </c>
      <c r="AT43" s="78">
        <f t="shared" si="23"/>
        <v>13623031</v>
      </c>
      <c r="AU43" s="100">
        <f t="shared" si="24"/>
        <v>51.099999999999994</v>
      </c>
      <c r="AV43" s="78">
        <f t="shared" si="24"/>
        <v>75749391</v>
      </c>
      <c r="AW43" s="78">
        <f t="shared" si="25"/>
        <v>0</v>
      </c>
      <c r="AX43" s="78">
        <f t="shared" si="26"/>
        <v>75749391</v>
      </c>
      <c r="AY43" s="101">
        <f t="shared" si="27"/>
        <v>8.951</v>
      </c>
      <c r="AZ43" s="101">
        <f t="shared" si="28"/>
        <v>40.82</v>
      </c>
      <c r="BA43" s="101">
        <f t="shared" si="29"/>
        <v>49.77</v>
      </c>
      <c r="BB43" s="82">
        <v>0.015</v>
      </c>
      <c r="BC43" s="78">
        <v>72986916</v>
      </c>
      <c r="BD43" s="78">
        <v>7953113</v>
      </c>
      <c r="BE43" s="78">
        <f t="shared" si="30"/>
        <v>80940029</v>
      </c>
      <c r="BF43" s="78">
        <f t="shared" si="31"/>
        <v>5396001933</v>
      </c>
      <c r="BG43" s="82">
        <f t="shared" si="32"/>
        <v>0.0135</v>
      </c>
      <c r="BH43" s="82">
        <f t="shared" si="33"/>
        <v>0.0015</v>
      </c>
      <c r="BI43" s="78">
        <f t="shared" si="34"/>
        <v>160181084</v>
      </c>
    </row>
    <row r="44" spans="2:61" ht="12.75">
      <c r="B44" s="76">
        <v>37</v>
      </c>
      <c r="C44" s="77" t="s">
        <v>43</v>
      </c>
      <c r="D44" s="77">
        <f>'Table 4 Formula'!U44</f>
        <v>21898.16</v>
      </c>
      <c r="E44" s="78">
        <f t="shared" si="35"/>
        <v>10194980</v>
      </c>
      <c r="F44" s="78">
        <f t="shared" si="9"/>
        <v>465.56</v>
      </c>
      <c r="G44" s="78">
        <f t="shared" si="36"/>
        <v>14796315</v>
      </c>
      <c r="H44" s="78">
        <f t="shared" si="10"/>
        <v>675.69</v>
      </c>
      <c r="I44" s="78">
        <v>904915</v>
      </c>
      <c r="J44" s="78">
        <f t="shared" si="11"/>
        <v>41.32</v>
      </c>
      <c r="K44" s="78">
        <f t="shared" si="12"/>
        <v>25896210</v>
      </c>
      <c r="L44" s="78">
        <f t="shared" si="13"/>
        <v>1182.57</v>
      </c>
      <c r="M44" s="102">
        <f t="shared" si="37"/>
        <v>0.74924921</v>
      </c>
      <c r="N44" s="77">
        <f t="shared" si="38"/>
        <v>34</v>
      </c>
      <c r="O44" s="99">
        <f t="shared" si="39"/>
        <v>40.509</v>
      </c>
      <c r="P44" s="78">
        <f t="shared" si="40"/>
        <v>10162055</v>
      </c>
      <c r="Q44" s="78">
        <f t="shared" si="14"/>
        <v>464.06</v>
      </c>
      <c r="R44" s="82">
        <f t="shared" si="41"/>
        <v>0.03</v>
      </c>
      <c r="S44" s="78">
        <f t="shared" si="42"/>
        <v>25658349</v>
      </c>
      <c r="T44" s="78">
        <f t="shared" si="15"/>
        <v>1171.7125548447907</v>
      </c>
      <c r="U44" s="78">
        <f t="shared" si="16"/>
        <v>904915</v>
      </c>
      <c r="V44" s="77">
        <f t="shared" si="17"/>
        <v>41.32</v>
      </c>
      <c r="W44" s="78">
        <f t="shared" si="18"/>
        <v>36725319</v>
      </c>
      <c r="X44" s="78">
        <f t="shared" si="19"/>
        <v>1677.1</v>
      </c>
      <c r="Y44" s="80">
        <f t="shared" si="20"/>
        <v>1.418182</v>
      </c>
      <c r="Z44" s="77">
        <f t="shared" si="43"/>
        <v>3</v>
      </c>
      <c r="AA44" s="77"/>
      <c r="AB44" s="78">
        <v>360451352</v>
      </c>
      <c r="AC44" s="78">
        <v>109590615</v>
      </c>
      <c r="AD44" s="78">
        <f t="shared" si="21"/>
        <v>250860737</v>
      </c>
      <c r="AE44" s="99">
        <v>5.25</v>
      </c>
      <c r="AF44" s="78">
        <v>1262493</v>
      </c>
      <c r="AG44" s="99">
        <v>24.45</v>
      </c>
      <c r="AH44" s="78">
        <v>5881006</v>
      </c>
      <c r="AI44" s="173">
        <v>0</v>
      </c>
      <c r="AJ44" s="173">
        <v>0</v>
      </c>
      <c r="AK44" s="77">
        <v>0</v>
      </c>
      <c r="AL44" s="78">
        <v>0</v>
      </c>
      <c r="AM44" s="78">
        <f t="shared" si="22"/>
        <v>7143499</v>
      </c>
      <c r="AN44" s="175">
        <v>0</v>
      </c>
      <c r="AO44" s="78">
        <v>0</v>
      </c>
      <c r="AP44" s="173">
        <v>20.2</v>
      </c>
      <c r="AQ44" s="173">
        <v>20.2</v>
      </c>
      <c r="AR44" s="77">
        <v>1</v>
      </c>
      <c r="AS44" s="78">
        <v>3018556</v>
      </c>
      <c r="AT44" s="78">
        <f t="shared" si="23"/>
        <v>3018556</v>
      </c>
      <c r="AU44" s="100">
        <f t="shared" si="24"/>
        <v>29.7</v>
      </c>
      <c r="AV44" s="78">
        <f t="shared" si="24"/>
        <v>7143499</v>
      </c>
      <c r="AW44" s="78">
        <f t="shared" si="25"/>
        <v>3018556</v>
      </c>
      <c r="AX44" s="78">
        <f t="shared" si="26"/>
        <v>10162055</v>
      </c>
      <c r="AY44" s="101">
        <f t="shared" si="27"/>
        <v>12.033</v>
      </c>
      <c r="AZ44" s="101">
        <f t="shared" si="28"/>
        <v>28.476</v>
      </c>
      <c r="BA44" s="101">
        <f t="shared" si="29"/>
        <v>40.509</v>
      </c>
      <c r="BB44" s="82">
        <v>0.03</v>
      </c>
      <c r="BC44" s="78">
        <v>25658349</v>
      </c>
      <c r="BD44" s="78">
        <v>0</v>
      </c>
      <c r="BE44" s="78">
        <f t="shared" si="30"/>
        <v>25658349</v>
      </c>
      <c r="BF44" s="78">
        <f t="shared" si="31"/>
        <v>855278300</v>
      </c>
      <c r="BG44" s="82">
        <f t="shared" si="32"/>
        <v>0.03</v>
      </c>
      <c r="BH44" s="82">
        <f t="shared" si="33"/>
        <v>0</v>
      </c>
      <c r="BI44" s="78">
        <f t="shared" si="34"/>
        <v>36725319</v>
      </c>
    </row>
    <row r="45" spans="2:61" ht="12.75">
      <c r="B45" s="76">
        <v>38</v>
      </c>
      <c r="C45" s="77" t="s">
        <v>44</v>
      </c>
      <c r="D45" s="77">
        <f>'Table 4 Formula'!U45</f>
        <v>6496.99</v>
      </c>
      <c r="E45" s="78">
        <f t="shared" si="35"/>
        <v>17503504</v>
      </c>
      <c r="F45" s="78">
        <f t="shared" si="9"/>
        <v>2694.09</v>
      </c>
      <c r="G45" s="78">
        <f t="shared" si="36"/>
        <v>9553223</v>
      </c>
      <c r="H45" s="78">
        <f t="shared" si="10"/>
        <v>1470.41</v>
      </c>
      <c r="I45" s="78">
        <v>250476</v>
      </c>
      <c r="J45" s="78">
        <f t="shared" si="11"/>
        <v>38.55</v>
      </c>
      <c r="K45" s="78">
        <f t="shared" si="12"/>
        <v>27307203</v>
      </c>
      <c r="L45" s="78">
        <f t="shared" si="13"/>
        <v>4203.05</v>
      </c>
      <c r="M45" s="102">
        <f t="shared" si="37"/>
        <v>2.66295602</v>
      </c>
      <c r="N45" s="77">
        <f t="shared" si="38"/>
        <v>2</v>
      </c>
      <c r="O45" s="99">
        <f t="shared" si="39"/>
        <v>14.938</v>
      </c>
      <c r="P45" s="78">
        <f t="shared" si="40"/>
        <v>6433587</v>
      </c>
      <c r="Q45" s="78">
        <f t="shared" si="14"/>
        <v>990.24</v>
      </c>
      <c r="R45" s="82">
        <f t="shared" si="41"/>
        <v>0.02</v>
      </c>
      <c r="S45" s="78">
        <f t="shared" si="42"/>
        <v>11044188</v>
      </c>
      <c r="T45" s="78">
        <f t="shared" si="15"/>
        <v>1699.8930273865283</v>
      </c>
      <c r="U45" s="78">
        <f t="shared" si="16"/>
        <v>250476</v>
      </c>
      <c r="V45" s="77">
        <f t="shared" si="17"/>
        <v>38.55</v>
      </c>
      <c r="W45" s="78">
        <f t="shared" si="18"/>
        <v>17728251</v>
      </c>
      <c r="X45" s="78">
        <f t="shared" si="19"/>
        <v>2728.69</v>
      </c>
      <c r="Y45" s="80">
        <f t="shared" si="20"/>
        <v>0.649217</v>
      </c>
      <c r="Z45" s="77">
        <f t="shared" si="43"/>
        <v>61</v>
      </c>
      <c r="AA45" s="77"/>
      <c r="AB45" s="78">
        <v>458180615</v>
      </c>
      <c r="AC45" s="78">
        <v>27484155</v>
      </c>
      <c r="AD45" s="78">
        <f t="shared" si="21"/>
        <v>430696460</v>
      </c>
      <c r="AE45" s="99">
        <v>5.8</v>
      </c>
      <c r="AF45" s="78">
        <v>2395039</v>
      </c>
      <c r="AG45" s="99">
        <v>7.18</v>
      </c>
      <c r="AH45" s="78">
        <v>2964894</v>
      </c>
      <c r="AI45" s="173">
        <v>0</v>
      </c>
      <c r="AJ45" s="173">
        <v>0</v>
      </c>
      <c r="AK45" s="77">
        <v>0</v>
      </c>
      <c r="AL45" s="78">
        <v>0</v>
      </c>
      <c r="AM45" s="78">
        <f t="shared" si="22"/>
        <v>5359933</v>
      </c>
      <c r="AN45" s="173">
        <v>2.6</v>
      </c>
      <c r="AO45" s="78">
        <v>1073654</v>
      </c>
      <c r="AP45" s="100">
        <v>0</v>
      </c>
      <c r="AQ45" s="100">
        <v>0</v>
      </c>
      <c r="AR45" s="77">
        <v>0</v>
      </c>
      <c r="AS45" s="78">
        <v>0</v>
      </c>
      <c r="AT45" s="78">
        <f t="shared" si="23"/>
        <v>1073654</v>
      </c>
      <c r="AU45" s="100">
        <f t="shared" si="24"/>
        <v>15.58</v>
      </c>
      <c r="AV45" s="78">
        <f t="shared" si="24"/>
        <v>6433587</v>
      </c>
      <c r="AW45" s="78">
        <f t="shared" si="25"/>
        <v>0</v>
      </c>
      <c r="AX45" s="78">
        <f t="shared" si="26"/>
        <v>6433587</v>
      </c>
      <c r="AY45" s="101">
        <f t="shared" si="27"/>
        <v>2.493</v>
      </c>
      <c r="AZ45" s="101">
        <f t="shared" si="28"/>
        <v>12.445</v>
      </c>
      <c r="BA45" s="101">
        <f t="shared" si="29"/>
        <v>14.938</v>
      </c>
      <c r="BB45" s="82">
        <v>0.02</v>
      </c>
      <c r="BC45" s="78">
        <v>9729288</v>
      </c>
      <c r="BD45" s="78">
        <v>1314900</v>
      </c>
      <c r="BE45" s="78">
        <f t="shared" si="30"/>
        <v>11044188</v>
      </c>
      <c r="BF45" s="78">
        <f t="shared" si="31"/>
        <v>552209400</v>
      </c>
      <c r="BG45" s="82">
        <f t="shared" si="32"/>
        <v>0.0176</v>
      </c>
      <c r="BH45" s="82">
        <f t="shared" si="33"/>
        <v>0.0024</v>
      </c>
      <c r="BI45" s="78">
        <f t="shared" si="34"/>
        <v>17728251</v>
      </c>
    </row>
    <row r="46" spans="2:61" ht="12.75">
      <c r="B46" s="76">
        <v>39</v>
      </c>
      <c r="C46" s="77" t="s">
        <v>45</v>
      </c>
      <c r="D46" s="77">
        <f>'Table 4 Formula'!U46</f>
        <v>5046.22</v>
      </c>
      <c r="E46" s="78">
        <f t="shared" si="35"/>
        <v>7607197</v>
      </c>
      <c r="F46" s="78">
        <f t="shared" si="9"/>
        <v>1507.5</v>
      </c>
      <c r="G46" s="78">
        <f t="shared" si="36"/>
        <v>3266781</v>
      </c>
      <c r="H46" s="78">
        <f t="shared" si="10"/>
        <v>647.37</v>
      </c>
      <c r="I46" s="78">
        <v>156286</v>
      </c>
      <c r="J46" s="78">
        <f t="shared" si="11"/>
        <v>30.97</v>
      </c>
      <c r="K46" s="78">
        <f t="shared" si="12"/>
        <v>11030264</v>
      </c>
      <c r="L46" s="78">
        <f t="shared" si="13"/>
        <v>2185.85</v>
      </c>
      <c r="M46" s="102">
        <f t="shared" si="37"/>
        <v>1.38490439</v>
      </c>
      <c r="N46" s="77">
        <f t="shared" si="38"/>
        <v>9</v>
      </c>
      <c r="O46" s="99">
        <f t="shared" si="39"/>
        <v>23.402</v>
      </c>
      <c r="P46" s="78">
        <f t="shared" si="40"/>
        <v>4380576</v>
      </c>
      <c r="Q46" s="78">
        <f t="shared" si="14"/>
        <v>868.09</v>
      </c>
      <c r="R46" s="82">
        <f t="shared" si="41"/>
        <v>0.01</v>
      </c>
      <c r="S46" s="78">
        <f t="shared" si="42"/>
        <v>1888313</v>
      </c>
      <c r="T46" s="78">
        <f t="shared" si="15"/>
        <v>374.2034631863058</v>
      </c>
      <c r="U46" s="78">
        <f t="shared" si="16"/>
        <v>156286</v>
      </c>
      <c r="V46" s="77">
        <f t="shared" si="17"/>
        <v>30.97</v>
      </c>
      <c r="W46" s="78">
        <f t="shared" si="18"/>
        <v>6425175</v>
      </c>
      <c r="X46" s="78">
        <f t="shared" si="19"/>
        <v>1273.26</v>
      </c>
      <c r="Y46" s="80">
        <f t="shared" si="20"/>
        <v>0.582501</v>
      </c>
      <c r="Z46" s="77">
        <f t="shared" si="43"/>
        <v>63</v>
      </c>
      <c r="AA46" s="77"/>
      <c r="AB46" s="78">
        <v>214074946</v>
      </c>
      <c r="AC46" s="78">
        <v>26889975</v>
      </c>
      <c r="AD46" s="78">
        <f t="shared" si="21"/>
        <v>187184971</v>
      </c>
      <c r="AE46" s="99">
        <v>4.54</v>
      </c>
      <c r="AF46" s="78">
        <v>846337</v>
      </c>
      <c r="AG46" s="99">
        <v>11.96</v>
      </c>
      <c r="AH46" s="78">
        <v>2229554</v>
      </c>
      <c r="AI46" s="173">
        <v>0</v>
      </c>
      <c r="AJ46" s="173">
        <v>0</v>
      </c>
      <c r="AK46" s="77">
        <v>0</v>
      </c>
      <c r="AL46" s="78">
        <v>0</v>
      </c>
      <c r="AM46" s="78">
        <f t="shared" si="22"/>
        <v>3075891</v>
      </c>
      <c r="AN46" s="175">
        <v>0</v>
      </c>
      <c r="AO46" s="78">
        <v>0</v>
      </c>
      <c r="AP46" s="173">
        <v>6.9</v>
      </c>
      <c r="AQ46" s="173">
        <v>13.56</v>
      </c>
      <c r="AR46" s="77">
        <v>2</v>
      </c>
      <c r="AS46" s="78">
        <v>1304685</v>
      </c>
      <c r="AT46" s="78">
        <f t="shared" si="23"/>
        <v>1304685</v>
      </c>
      <c r="AU46" s="100">
        <f t="shared" si="24"/>
        <v>16.5</v>
      </c>
      <c r="AV46" s="78">
        <f t="shared" si="24"/>
        <v>3075891</v>
      </c>
      <c r="AW46" s="78">
        <f t="shared" si="25"/>
        <v>1304685</v>
      </c>
      <c r="AX46" s="78">
        <f t="shared" si="26"/>
        <v>4380576</v>
      </c>
      <c r="AY46" s="101">
        <f t="shared" si="27"/>
        <v>6.97</v>
      </c>
      <c r="AZ46" s="101">
        <f t="shared" si="28"/>
        <v>16.432</v>
      </c>
      <c r="BA46" s="101">
        <f t="shared" si="29"/>
        <v>23.402</v>
      </c>
      <c r="BB46" s="82">
        <v>0.01</v>
      </c>
      <c r="BC46" s="78">
        <v>1888313</v>
      </c>
      <c r="BD46" s="78">
        <v>0</v>
      </c>
      <c r="BE46" s="78">
        <f t="shared" si="30"/>
        <v>1888313</v>
      </c>
      <c r="BF46" s="78">
        <f t="shared" si="31"/>
        <v>188831300</v>
      </c>
      <c r="BG46" s="82">
        <f t="shared" si="32"/>
        <v>0.01</v>
      </c>
      <c r="BH46" s="82">
        <f t="shared" si="33"/>
        <v>0</v>
      </c>
      <c r="BI46" s="78">
        <f t="shared" si="34"/>
        <v>6425175</v>
      </c>
    </row>
    <row r="47" spans="2:61" ht="12.75">
      <c r="B47" s="115">
        <v>40</v>
      </c>
      <c r="C47" s="116" t="s">
        <v>46</v>
      </c>
      <c r="D47" s="116">
        <f>'Table 4 Formula'!U47</f>
        <v>31154.559999999998</v>
      </c>
      <c r="E47" s="117">
        <f t="shared" si="35"/>
        <v>14421769</v>
      </c>
      <c r="F47" s="117">
        <f t="shared" si="9"/>
        <v>462.91</v>
      </c>
      <c r="G47" s="117">
        <f t="shared" si="36"/>
        <v>27509961</v>
      </c>
      <c r="H47" s="117">
        <f t="shared" si="10"/>
        <v>883.02</v>
      </c>
      <c r="I47" s="117">
        <v>1168275</v>
      </c>
      <c r="J47" s="117">
        <f t="shared" si="11"/>
        <v>37.5</v>
      </c>
      <c r="K47" s="117">
        <f t="shared" si="12"/>
        <v>43100005</v>
      </c>
      <c r="L47" s="117">
        <f t="shared" si="13"/>
        <v>1383.43</v>
      </c>
      <c r="M47" s="128">
        <f t="shared" si="37"/>
        <v>0.8765095</v>
      </c>
      <c r="N47" s="116">
        <f t="shared" si="38"/>
        <v>25</v>
      </c>
      <c r="O47" s="125">
        <f t="shared" si="39"/>
        <v>63.223</v>
      </c>
      <c r="P47" s="117">
        <f t="shared" si="40"/>
        <v>22435732</v>
      </c>
      <c r="Q47" s="117">
        <f t="shared" si="14"/>
        <v>720.14</v>
      </c>
      <c r="R47" s="122">
        <f t="shared" si="41"/>
        <v>0.015</v>
      </c>
      <c r="S47" s="117">
        <f t="shared" si="42"/>
        <v>23852567</v>
      </c>
      <c r="T47" s="117">
        <f t="shared" si="15"/>
        <v>765.620409981717</v>
      </c>
      <c r="U47" s="117">
        <f t="shared" si="16"/>
        <v>1168275</v>
      </c>
      <c r="V47" s="116">
        <f t="shared" si="17"/>
        <v>37.5</v>
      </c>
      <c r="W47" s="117">
        <f t="shared" si="18"/>
        <v>47456574</v>
      </c>
      <c r="X47" s="117">
        <f t="shared" si="19"/>
        <v>1523.26</v>
      </c>
      <c r="Y47" s="120">
        <f t="shared" si="20"/>
        <v>1.101075</v>
      </c>
      <c r="Z47" s="116">
        <f t="shared" si="43"/>
        <v>18</v>
      </c>
      <c r="AA47" s="116"/>
      <c r="AB47" s="117">
        <v>487868944</v>
      </c>
      <c r="AC47" s="117">
        <v>133002590</v>
      </c>
      <c r="AD47" s="117">
        <f t="shared" si="21"/>
        <v>354866354</v>
      </c>
      <c r="AE47" s="125">
        <v>4.74</v>
      </c>
      <c r="AF47" s="117">
        <v>1658104</v>
      </c>
      <c r="AG47" s="125">
        <v>20.81</v>
      </c>
      <c r="AH47" s="117">
        <v>6544462</v>
      </c>
      <c r="AI47" s="174">
        <v>3.04</v>
      </c>
      <c r="AJ47" s="174">
        <v>24.05</v>
      </c>
      <c r="AK47" s="116">
        <v>13</v>
      </c>
      <c r="AL47" s="117">
        <v>3746340</v>
      </c>
      <c r="AM47" s="117">
        <f t="shared" si="22"/>
        <v>11948906</v>
      </c>
      <c r="AN47" s="176">
        <v>0</v>
      </c>
      <c r="AO47" s="117">
        <v>0</v>
      </c>
      <c r="AP47" s="174">
        <v>5.8</v>
      </c>
      <c r="AQ47" s="174">
        <v>86</v>
      </c>
      <c r="AR47" s="116">
        <v>12</v>
      </c>
      <c r="AS47" s="117">
        <v>10486826</v>
      </c>
      <c r="AT47" s="117">
        <f t="shared" si="23"/>
        <v>10486826</v>
      </c>
      <c r="AU47" s="126">
        <f t="shared" si="24"/>
        <v>25.549999999999997</v>
      </c>
      <c r="AV47" s="117">
        <f t="shared" si="24"/>
        <v>8202566</v>
      </c>
      <c r="AW47" s="117">
        <f t="shared" si="25"/>
        <v>14233166</v>
      </c>
      <c r="AX47" s="117">
        <f t="shared" si="26"/>
        <v>22435732</v>
      </c>
      <c r="AY47" s="127">
        <f t="shared" si="27"/>
        <v>29.551</v>
      </c>
      <c r="AZ47" s="127">
        <f t="shared" si="28"/>
        <v>33.672</v>
      </c>
      <c r="BA47" s="127">
        <f t="shared" si="29"/>
        <v>63.223</v>
      </c>
      <c r="BB47" s="122">
        <v>0.015</v>
      </c>
      <c r="BC47" s="117">
        <v>23852567</v>
      </c>
      <c r="BD47" s="117">
        <v>0</v>
      </c>
      <c r="BE47" s="117">
        <f t="shared" si="30"/>
        <v>23852567</v>
      </c>
      <c r="BF47" s="117">
        <f t="shared" si="31"/>
        <v>1590171133</v>
      </c>
      <c r="BG47" s="122">
        <f t="shared" si="32"/>
        <v>0.015</v>
      </c>
      <c r="BH47" s="122">
        <f t="shared" si="33"/>
        <v>0</v>
      </c>
      <c r="BI47" s="117">
        <f t="shared" si="34"/>
        <v>47456574</v>
      </c>
    </row>
    <row r="48" spans="2:61" ht="12.75">
      <c r="B48" s="76">
        <v>41</v>
      </c>
      <c r="C48" s="77" t="s">
        <v>47</v>
      </c>
      <c r="D48" s="77">
        <f>'Table 4 Formula'!U48</f>
        <v>2825.66</v>
      </c>
      <c r="E48" s="78">
        <f t="shared" si="35"/>
        <v>1047127</v>
      </c>
      <c r="F48" s="78">
        <f t="shared" si="9"/>
        <v>370.58</v>
      </c>
      <c r="G48" s="78">
        <f t="shared" si="36"/>
        <v>1007842</v>
      </c>
      <c r="H48" s="78">
        <f t="shared" si="10"/>
        <v>356.67</v>
      </c>
      <c r="I48" s="78">
        <v>48281</v>
      </c>
      <c r="J48" s="78">
        <f t="shared" si="11"/>
        <v>17.09</v>
      </c>
      <c r="K48" s="78">
        <f t="shared" si="12"/>
        <v>2103250</v>
      </c>
      <c r="L48" s="78">
        <f t="shared" si="13"/>
        <v>744.34</v>
      </c>
      <c r="M48" s="102">
        <f t="shared" si="37"/>
        <v>0.47159674</v>
      </c>
      <c r="N48" s="77">
        <f t="shared" si="38"/>
        <v>61</v>
      </c>
      <c r="O48" s="99">
        <f t="shared" si="39"/>
        <v>76.281</v>
      </c>
      <c r="P48" s="78">
        <f t="shared" si="40"/>
        <v>1965451</v>
      </c>
      <c r="Q48" s="78">
        <f t="shared" si="14"/>
        <v>695.57</v>
      </c>
      <c r="R48" s="82">
        <f t="shared" si="41"/>
        <v>0.02</v>
      </c>
      <c r="S48" s="78">
        <f t="shared" si="42"/>
        <v>1165135</v>
      </c>
      <c r="T48" s="78">
        <f t="shared" si="15"/>
        <v>412.3408336459447</v>
      </c>
      <c r="U48" s="78">
        <f t="shared" si="16"/>
        <v>48281</v>
      </c>
      <c r="V48" s="77">
        <f t="shared" si="17"/>
        <v>17.09</v>
      </c>
      <c r="W48" s="78">
        <f t="shared" si="18"/>
        <v>3178867</v>
      </c>
      <c r="X48" s="78">
        <f t="shared" si="19"/>
        <v>1125</v>
      </c>
      <c r="Y48" s="80">
        <f t="shared" si="20"/>
        <v>1.511406</v>
      </c>
      <c r="Z48" s="77">
        <f t="shared" si="43"/>
        <v>1</v>
      </c>
      <c r="AA48" s="77"/>
      <c r="AB48" s="78">
        <v>34165780</v>
      </c>
      <c r="AC48" s="78">
        <v>8399860</v>
      </c>
      <c r="AD48" s="78">
        <f t="shared" si="21"/>
        <v>25765920</v>
      </c>
      <c r="AE48" s="99">
        <v>4.58</v>
      </c>
      <c r="AF48" s="78">
        <v>109935</v>
      </c>
      <c r="AG48" s="99">
        <v>36.62</v>
      </c>
      <c r="AH48" s="78">
        <v>847377</v>
      </c>
      <c r="AI48" s="173">
        <v>0</v>
      </c>
      <c r="AJ48" s="173">
        <v>0</v>
      </c>
      <c r="AK48" s="77">
        <v>0</v>
      </c>
      <c r="AL48" s="78">
        <v>0</v>
      </c>
      <c r="AM48" s="78">
        <f t="shared" si="22"/>
        <v>957312</v>
      </c>
      <c r="AN48" s="173">
        <v>42</v>
      </c>
      <c r="AO48" s="78">
        <v>1008139</v>
      </c>
      <c r="AP48" s="100">
        <v>0</v>
      </c>
      <c r="AQ48" s="100">
        <v>0</v>
      </c>
      <c r="AR48" s="77">
        <v>0</v>
      </c>
      <c r="AS48" s="78">
        <v>0</v>
      </c>
      <c r="AT48" s="78">
        <f t="shared" si="23"/>
        <v>1008139</v>
      </c>
      <c r="AU48" s="100">
        <f t="shared" si="24"/>
        <v>83.19999999999999</v>
      </c>
      <c r="AV48" s="78">
        <f t="shared" si="24"/>
        <v>1965451</v>
      </c>
      <c r="AW48" s="78">
        <f t="shared" si="25"/>
        <v>0</v>
      </c>
      <c r="AX48" s="78">
        <f t="shared" si="26"/>
        <v>1965451</v>
      </c>
      <c r="AY48" s="101">
        <f t="shared" si="27"/>
        <v>39.127</v>
      </c>
      <c r="AZ48" s="101">
        <f t="shared" si="28"/>
        <v>37.154</v>
      </c>
      <c r="BA48" s="101">
        <f t="shared" si="29"/>
        <v>76.281</v>
      </c>
      <c r="BB48" s="82">
        <v>0.02</v>
      </c>
      <c r="BC48" s="78">
        <v>1165135</v>
      </c>
      <c r="BD48" s="78">
        <v>0</v>
      </c>
      <c r="BE48" s="78">
        <f t="shared" si="30"/>
        <v>1165135</v>
      </c>
      <c r="BF48" s="78">
        <f t="shared" si="31"/>
        <v>58256750</v>
      </c>
      <c r="BG48" s="82">
        <f t="shared" si="32"/>
        <v>0.02</v>
      </c>
      <c r="BH48" s="82">
        <f t="shared" si="33"/>
        <v>0</v>
      </c>
      <c r="BI48" s="78">
        <f t="shared" si="34"/>
        <v>3178867</v>
      </c>
    </row>
    <row r="49" spans="2:61" ht="12.75">
      <c r="B49" s="76">
        <v>42</v>
      </c>
      <c r="C49" s="77" t="s">
        <v>48</v>
      </c>
      <c r="D49" s="77">
        <f>'Table 4 Formula'!U49</f>
        <v>5423.13</v>
      </c>
      <c r="E49" s="78">
        <f t="shared" si="35"/>
        <v>1961341</v>
      </c>
      <c r="F49" s="78">
        <f t="shared" si="9"/>
        <v>361.66</v>
      </c>
      <c r="G49" s="78">
        <f t="shared" si="36"/>
        <v>2592174</v>
      </c>
      <c r="H49" s="78">
        <f t="shared" si="10"/>
        <v>477.98</v>
      </c>
      <c r="I49" s="78">
        <v>221286</v>
      </c>
      <c r="J49" s="78">
        <f t="shared" si="11"/>
        <v>40.8</v>
      </c>
      <c r="K49" s="78">
        <f t="shared" si="12"/>
        <v>4774801</v>
      </c>
      <c r="L49" s="78">
        <f t="shared" si="13"/>
        <v>880.45</v>
      </c>
      <c r="M49" s="102">
        <f t="shared" si="37"/>
        <v>0.55783291</v>
      </c>
      <c r="N49" s="77">
        <f t="shared" si="38"/>
        <v>52</v>
      </c>
      <c r="O49" s="99">
        <f t="shared" si="39"/>
        <v>31.424</v>
      </c>
      <c r="P49" s="78">
        <f t="shared" si="40"/>
        <v>1516586</v>
      </c>
      <c r="Q49" s="78">
        <f t="shared" si="14"/>
        <v>279.65</v>
      </c>
      <c r="R49" s="82">
        <f t="shared" si="41"/>
        <v>0.015</v>
      </c>
      <c r="S49" s="78">
        <f t="shared" si="42"/>
        <v>2247550</v>
      </c>
      <c r="T49" s="78">
        <f t="shared" si="15"/>
        <v>414.4377877720062</v>
      </c>
      <c r="U49" s="78">
        <f t="shared" si="16"/>
        <v>221286</v>
      </c>
      <c r="V49" s="77">
        <f t="shared" si="17"/>
        <v>40.8</v>
      </c>
      <c r="W49" s="78">
        <f t="shared" si="18"/>
        <v>3985422</v>
      </c>
      <c r="X49" s="78">
        <f t="shared" si="19"/>
        <v>734.89</v>
      </c>
      <c r="Y49" s="80">
        <f t="shared" si="20"/>
        <v>0.834675</v>
      </c>
      <c r="Z49" s="77">
        <f t="shared" si="43"/>
        <v>46</v>
      </c>
      <c r="AA49" s="77"/>
      <c r="AB49" s="78">
        <v>67342710</v>
      </c>
      <c r="AC49" s="78">
        <v>19081360</v>
      </c>
      <c r="AD49" s="78">
        <f t="shared" si="21"/>
        <v>48261350</v>
      </c>
      <c r="AE49" s="99">
        <v>6.37</v>
      </c>
      <c r="AF49" s="78">
        <v>287909</v>
      </c>
      <c r="AG49" s="99">
        <v>6.81</v>
      </c>
      <c r="AH49" s="78">
        <v>307798</v>
      </c>
      <c r="AI49" s="173">
        <v>0</v>
      </c>
      <c r="AJ49" s="173">
        <v>0</v>
      </c>
      <c r="AK49" s="77">
        <v>0</v>
      </c>
      <c r="AL49" s="78">
        <v>0</v>
      </c>
      <c r="AM49" s="78">
        <f t="shared" si="22"/>
        <v>595707</v>
      </c>
      <c r="AN49" s="175">
        <v>0</v>
      </c>
      <c r="AO49" s="78">
        <v>0</v>
      </c>
      <c r="AP49" s="173">
        <v>20</v>
      </c>
      <c r="AQ49" s="173">
        <v>58</v>
      </c>
      <c r="AR49" s="77">
        <v>4</v>
      </c>
      <c r="AS49" s="78">
        <v>920879</v>
      </c>
      <c r="AT49" s="78">
        <f t="shared" si="23"/>
        <v>920879</v>
      </c>
      <c r="AU49" s="100">
        <f t="shared" si="24"/>
        <v>13.18</v>
      </c>
      <c r="AV49" s="78">
        <f t="shared" si="24"/>
        <v>595707</v>
      </c>
      <c r="AW49" s="78">
        <f t="shared" si="25"/>
        <v>920879</v>
      </c>
      <c r="AX49" s="78">
        <f t="shared" si="26"/>
        <v>1516586</v>
      </c>
      <c r="AY49" s="101">
        <f t="shared" si="27"/>
        <v>19.081</v>
      </c>
      <c r="AZ49" s="101">
        <f t="shared" si="28"/>
        <v>12.343</v>
      </c>
      <c r="BA49" s="101">
        <f t="shared" si="29"/>
        <v>31.424</v>
      </c>
      <c r="BB49" s="82">
        <v>0.015</v>
      </c>
      <c r="BC49" s="78">
        <v>2247550</v>
      </c>
      <c r="BD49" s="78">
        <v>0</v>
      </c>
      <c r="BE49" s="78">
        <f t="shared" si="30"/>
        <v>2247550</v>
      </c>
      <c r="BF49" s="78">
        <f t="shared" si="31"/>
        <v>149836667</v>
      </c>
      <c r="BG49" s="82">
        <f t="shared" si="32"/>
        <v>0.015</v>
      </c>
      <c r="BH49" s="82">
        <f t="shared" si="33"/>
        <v>0</v>
      </c>
      <c r="BI49" s="78">
        <f t="shared" si="34"/>
        <v>3985422</v>
      </c>
    </row>
    <row r="50" spans="2:61" ht="12.75">
      <c r="B50" s="76">
        <v>43</v>
      </c>
      <c r="C50" s="77" t="s">
        <v>49</v>
      </c>
      <c r="D50" s="77">
        <f>'Table 4 Formula'!U50</f>
        <v>6320.9400000000005</v>
      </c>
      <c r="E50" s="78">
        <f t="shared" si="35"/>
        <v>2578908</v>
      </c>
      <c r="F50" s="78">
        <f t="shared" si="9"/>
        <v>407.99</v>
      </c>
      <c r="G50" s="78">
        <f t="shared" si="36"/>
        <v>3643833</v>
      </c>
      <c r="H50" s="78">
        <f t="shared" si="10"/>
        <v>576.47</v>
      </c>
      <c r="I50" s="78">
        <v>166980</v>
      </c>
      <c r="J50" s="78">
        <f t="shared" si="11"/>
        <v>26.42</v>
      </c>
      <c r="K50" s="78">
        <f t="shared" si="12"/>
        <v>6389721</v>
      </c>
      <c r="L50" s="78">
        <f t="shared" si="13"/>
        <v>1010.88</v>
      </c>
      <c r="M50" s="102">
        <f t="shared" si="37"/>
        <v>0.64047037</v>
      </c>
      <c r="N50" s="77">
        <f t="shared" si="38"/>
        <v>42</v>
      </c>
      <c r="O50" s="99">
        <f t="shared" si="39"/>
        <v>42.891</v>
      </c>
      <c r="P50" s="78">
        <f t="shared" si="40"/>
        <v>2721764</v>
      </c>
      <c r="Q50" s="78">
        <f t="shared" si="14"/>
        <v>430.59</v>
      </c>
      <c r="R50" s="82">
        <f t="shared" si="41"/>
        <v>0.01</v>
      </c>
      <c r="S50" s="78">
        <f t="shared" si="42"/>
        <v>2106262</v>
      </c>
      <c r="T50" s="78">
        <f t="shared" si="15"/>
        <v>333.2197426332159</v>
      </c>
      <c r="U50" s="78">
        <f t="shared" si="16"/>
        <v>166980</v>
      </c>
      <c r="V50" s="77">
        <f t="shared" si="17"/>
        <v>26.42</v>
      </c>
      <c r="W50" s="78">
        <f t="shared" si="18"/>
        <v>4995006</v>
      </c>
      <c r="X50" s="78">
        <f t="shared" si="19"/>
        <v>790.23</v>
      </c>
      <c r="Y50" s="80">
        <f t="shared" si="20"/>
        <v>0.781725</v>
      </c>
      <c r="Z50" s="77">
        <f t="shared" si="43"/>
        <v>49</v>
      </c>
      <c r="AA50" s="77"/>
      <c r="AB50" s="78">
        <v>86192710</v>
      </c>
      <c r="AC50" s="78">
        <v>22735330</v>
      </c>
      <c r="AD50" s="78">
        <f t="shared" si="21"/>
        <v>63457380</v>
      </c>
      <c r="AE50" s="99">
        <v>4.8</v>
      </c>
      <c r="AF50" s="78">
        <v>298037</v>
      </c>
      <c r="AG50" s="99">
        <v>8.1</v>
      </c>
      <c r="AH50" s="78">
        <v>502940</v>
      </c>
      <c r="AI50" s="173">
        <v>7.52</v>
      </c>
      <c r="AJ50" s="173">
        <v>12.89</v>
      </c>
      <c r="AK50" s="77">
        <v>7</v>
      </c>
      <c r="AL50" s="78">
        <v>525784</v>
      </c>
      <c r="AM50" s="78">
        <f t="shared" si="22"/>
        <v>1326761</v>
      </c>
      <c r="AN50" s="175">
        <v>0</v>
      </c>
      <c r="AO50" s="78">
        <v>0</v>
      </c>
      <c r="AP50" s="173">
        <v>5</v>
      </c>
      <c r="AQ50" s="173">
        <v>47</v>
      </c>
      <c r="AR50" s="77">
        <v>7</v>
      </c>
      <c r="AS50" s="78">
        <v>1395003</v>
      </c>
      <c r="AT50" s="78">
        <f t="shared" si="23"/>
        <v>1395003</v>
      </c>
      <c r="AU50" s="100">
        <f t="shared" si="24"/>
        <v>12.899999999999999</v>
      </c>
      <c r="AV50" s="78">
        <f t="shared" si="24"/>
        <v>800977</v>
      </c>
      <c r="AW50" s="78">
        <f t="shared" si="25"/>
        <v>1920787</v>
      </c>
      <c r="AX50" s="78">
        <f t="shared" si="26"/>
        <v>2721764</v>
      </c>
      <c r="AY50" s="101">
        <f t="shared" si="27"/>
        <v>21.983</v>
      </c>
      <c r="AZ50" s="101">
        <f t="shared" si="28"/>
        <v>20.908</v>
      </c>
      <c r="BA50" s="101">
        <f t="shared" si="29"/>
        <v>42.891</v>
      </c>
      <c r="BB50" s="82">
        <v>0.01</v>
      </c>
      <c r="BC50" s="78">
        <v>2106262</v>
      </c>
      <c r="BD50" s="78">
        <v>0</v>
      </c>
      <c r="BE50" s="78">
        <f t="shared" si="30"/>
        <v>2106262</v>
      </c>
      <c r="BF50" s="78">
        <f t="shared" si="31"/>
        <v>210626200</v>
      </c>
      <c r="BG50" s="82">
        <f t="shared" si="32"/>
        <v>0.01</v>
      </c>
      <c r="BH50" s="82">
        <f t="shared" si="33"/>
        <v>0</v>
      </c>
      <c r="BI50" s="78">
        <f t="shared" si="34"/>
        <v>4995006</v>
      </c>
    </row>
    <row r="51" spans="2:61" ht="12.75">
      <c r="B51" s="76">
        <v>44</v>
      </c>
      <c r="C51" s="77" t="s">
        <v>50</v>
      </c>
      <c r="D51" s="77">
        <f>'Table 4 Formula'!U51</f>
        <v>11492.880000000001</v>
      </c>
      <c r="E51" s="78">
        <f t="shared" si="35"/>
        <v>7390340</v>
      </c>
      <c r="F51" s="78">
        <f t="shared" si="9"/>
        <v>643.04</v>
      </c>
      <c r="G51" s="78">
        <f t="shared" si="36"/>
        <v>10831290</v>
      </c>
      <c r="H51" s="78">
        <f t="shared" si="10"/>
        <v>942.43</v>
      </c>
      <c r="I51" s="78">
        <v>370609</v>
      </c>
      <c r="J51" s="78">
        <f t="shared" si="11"/>
        <v>32.25</v>
      </c>
      <c r="K51" s="78">
        <f t="shared" si="12"/>
        <v>18592239</v>
      </c>
      <c r="L51" s="78">
        <f t="shared" si="13"/>
        <v>1617.72</v>
      </c>
      <c r="M51" s="102">
        <f t="shared" si="37"/>
        <v>1.02495026</v>
      </c>
      <c r="N51" s="77">
        <f t="shared" si="38"/>
        <v>18</v>
      </c>
      <c r="O51" s="99">
        <f t="shared" si="39"/>
        <v>30.002</v>
      </c>
      <c r="P51" s="78">
        <f t="shared" si="40"/>
        <v>5455771</v>
      </c>
      <c r="Q51" s="78">
        <f t="shared" si="14"/>
        <v>474.71</v>
      </c>
      <c r="R51" s="82">
        <f t="shared" si="41"/>
        <v>0.02</v>
      </c>
      <c r="S51" s="78">
        <f t="shared" si="42"/>
        <v>12521722</v>
      </c>
      <c r="T51" s="78">
        <f t="shared" si="15"/>
        <v>1089.5199462623814</v>
      </c>
      <c r="U51" s="78">
        <f t="shared" si="16"/>
        <v>370609</v>
      </c>
      <c r="V51" s="77">
        <f t="shared" si="17"/>
        <v>32.25</v>
      </c>
      <c r="W51" s="78">
        <f t="shared" si="18"/>
        <v>18348102</v>
      </c>
      <c r="X51" s="78">
        <f t="shared" si="19"/>
        <v>1596.48</v>
      </c>
      <c r="Y51" s="80">
        <f t="shared" si="20"/>
        <v>0.98687</v>
      </c>
      <c r="Z51" s="77">
        <f t="shared" si="43"/>
        <v>35</v>
      </c>
      <c r="AA51" s="77"/>
      <c r="AB51" s="78">
        <v>287133876</v>
      </c>
      <c r="AC51" s="78">
        <v>105284955</v>
      </c>
      <c r="AD51" s="78">
        <f t="shared" si="21"/>
        <v>181848921</v>
      </c>
      <c r="AE51" s="99">
        <v>3.75</v>
      </c>
      <c r="AF51" s="78">
        <v>659972</v>
      </c>
      <c r="AG51" s="99">
        <v>12.25</v>
      </c>
      <c r="AH51" s="78">
        <v>2155910</v>
      </c>
      <c r="AI51" s="173">
        <v>0</v>
      </c>
      <c r="AJ51" s="173">
        <v>0</v>
      </c>
      <c r="AK51" s="77">
        <v>0</v>
      </c>
      <c r="AL51" s="78">
        <v>0</v>
      </c>
      <c r="AM51" s="78">
        <f t="shared" si="22"/>
        <v>2815882</v>
      </c>
      <c r="AN51" s="173">
        <v>15</v>
      </c>
      <c r="AO51" s="78">
        <v>2639889</v>
      </c>
      <c r="AP51" s="100">
        <v>0</v>
      </c>
      <c r="AQ51" s="100">
        <v>0</v>
      </c>
      <c r="AR51" s="77">
        <v>0</v>
      </c>
      <c r="AS51" s="78">
        <v>0</v>
      </c>
      <c r="AT51" s="78">
        <f t="shared" si="23"/>
        <v>2639889</v>
      </c>
      <c r="AU51" s="100">
        <f t="shared" si="24"/>
        <v>31</v>
      </c>
      <c r="AV51" s="78">
        <f t="shared" si="24"/>
        <v>5455771</v>
      </c>
      <c r="AW51" s="78">
        <f t="shared" si="25"/>
        <v>0</v>
      </c>
      <c r="AX51" s="78">
        <f t="shared" si="26"/>
        <v>5455771</v>
      </c>
      <c r="AY51" s="101">
        <f t="shared" si="27"/>
        <v>14.517</v>
      </c>
      <c r="AZ51" s="101">
        <f t="shared" si="28"/>
        <v>15.485</v>
      </c>
      <c r="BA51" s="101">
        <f t="shared" si="29"/>
        <v>30.002</v>
      </c>
      <c r="BB51" s="82">
        <v>0.02</v>
      </c>
      <c r="BC51" s="78">
        <v>11910586</v>
      </c>
      <c r="BD51" s="78">
        <v>611136</v>
      </c>
      <c r="BE51" s="78">
        <f t="shared" si="30"/>
        <v>12521722</v>
      </c>
      <c r="BF51" s="78">
        <f t="shared" si="31"/>
        <v>626086100</v>
      </c>
      <c r="BG51" s="82">
        <f t="shared" si="32"/>
        <v>0.019</v>
      </c>
      <c r="BH51" s="82">
        <f t="shared" si="33"/>
        <v>0.001</v>
      </c>
      <c r="BI51" s="78">
        <f t="shared" si="34"/>
        <v>18348102</v>
      </c>
    </row>
    <row r="52" spans="2:61" ht="12.75">
      <c r="B52" s="115">
        <v>45</v>
      </c>
      <c r="C52" s="116" t="s">
        <v>51</v>
      </c>
      <c r="D52" s="116">
        <f>'Table 4 Formula'!U52</f>
        <v>12428.98</v>
      </c>
      <c r="E52" s="117">
        <f t="shared" si="35"/>
        <v>25310998</v>
      </c>
      <c r="F52" s="117">
        <f t="shared" si="9"/>
        <v>2036.45</v>
      </c>
      <c r="G52" s="117">
        <f t="shared" si="36"/>
        <v>17732403</v>
      </c>
      <c r="H52" s="117">
        <f t="shared" si="10"/>
        <v>1426.7</v>
      </c>
      <c r="I52" s="117">
        <v>285416</v>
      </c>
      <c r="J52" s="117">
        <f t="shared" si="11"/>
        <v>22.96</v>
      </c>
      <c r="K52" s="117">
        <f t="shared" si="12"/>
        <v>43328817</v>
      </c>
      <c r="L52" s="117">
        <f t="shared" si="13"/>
        <v>3486.11</v>
      </c>
      <c r="M52" s="128">
        <f t="shared" si="37"/>
        <v>2.20871929</v>
      </c>
      <c r="N52" s="116">
        <f t="shared" si="38"/>
        <v>3</v>
      </c>
      <c r="O52" s="125">
        <f t="shared" si="39"/>
        <v>54.834</v>
      </c>
      <c r="P52" s="117">
        <f t="shared" si="40"/>
        <v>34150933</v>
      </c>
      <c r="Q52" s="117">
        <f t="shared" si="14"/>
        <v>2747.69</v>
      </c>
      <c r="R52" s="122">
        <f t="shared" si="41"/>
        <v>0.02</v>
      </c>
      <c r="S52" s="117">
        <f t="shared" si="42"/>
        <v>20499888</v>
      </c>
      <c r="T52" s="117">
        <f t="shared" si="15"/>
        <v>1649.362055454269</v>
      </c>
      <c r="U52" s="117">
        <f t="shared" si="16"/>
        <v>285416</v>
      </c>
      <c r="V52" s="116">
        <f t="shared" si="17"/>
        <v>22.96</v>
      </c>
      <c r="W52" s="117">
        <f t="shared" si="18"/>
        <v>54936237</v>
      </c>
      <c r="X52" s="117">
        <f t="shared" si="19"/>
        <v>4420.01</v>
      </c>
      <c r="Y52" s="120">
        <f t="shared" si="20"/>
        <v>1.267892</v>
      </c>
      <c r="Z52" s="116">
        <f t="shared" si="43"/>
        <v>7</v>
      </c>
      <c r="AA52" s="116"/>
      <c r="AB52" s="117">
        <v>694616578</v>
      </c>
      <c r="AC52" s="117">
        <v>71806582</v>
      </c>
      <c r="AD52" s="117">
        <f t="shared" si="21"/>
        <v>622809996</v>
      </c>
      <c r="AE52" s="125">
        <v>4.1</v>
      </c>
      <c r="AF52" s="117">
        <v>2519914</v>
      </c>
      <c r="AG52" s="125">
        <v>44.59</v>
      </c>
      <c r="AH52" s="117">
        <v>27408787</v>
      </c>
      <c r="AI52" s="174">
        <v>44.59</v>
      </c>
      <c r="AJ52" s="174">
        <v>44.59</v>
      </c>
      <c r="AK52" s="116">
        <v>1</v>
      </c>
      <c r="AL52" s="117">
        <v>0</v>
      </c>
      <c r="AM52" s="117">
        <f t="shared" si="22"/>
        <v>29928701</v>
      </c>
      <c r="AN52" s="174">
        <v>6.81</v>
      </c>
      <c r="AO52" s="117">
        <v>4222232</v>
      </c>
      <c r="AP52" s="177">
        <v>6.81</v>
      </c>
      <c r="AQ52" s="177">
        <v>6.81</v>
      </c>
      <c r="AR52" s="116">
        <v>1</v>
      </c>
      <c r="AS52" s="117">
        <v>0</v>
      </c>
      <c r="AT52" s="117">
        <f t="shared" si="23"/>
        <v>4222232</v>
      </c>
      <c r="AU52" s="126">
        <f t="shared" si="24"/>
        <v>55.50000000000001</v>
      </c>
      <c r="AV52" s="117">
        <f t="shared" si="24"/>
        <v>34150933</v>
      </c>
      <c r="AW52" s="117">
        <f t="shared" si="25"/>
        <v>0</v>
      </c>
      <c r="AX52" s="117">
        <f t="shared" si="26"/>
        <v>34150933</v>
      </c>
      <c r="AY52" s="127">
        <f t="shared" si="27"/>
        <v>6.779</v>
      </c>
      <c r="AZ52" s="127">
        <f t="shared" si="28"/>
        <v>48.054</v>
      </c>
      <c r="BA52" s="127">
        <f t="shared" si="29"/>
        <v>54.834</v>
      </c>
      <c r="BB52" s="122">
        <v>0.02</v>
      </c>
      <c r="BC52" s="117">
        <v>19534106</v>
      </c>
      <c r="BD52" s="117">
        <v>965782</v>
      </c>
      <c r="BE52" s="117">
        <f t="shared" si="30"/>
        <v>20499888</v>
      </c>
      <c r="BF52" s="117">
        <f t="shared" si="31"/>
        <v>1024994400</v>
      </c>
      <c r="BG52" s="122">
        <f t="shared" si="32"/>
        <v>0.0191</v>
      </c>
      <c r="BH52" s="122">
        <f t="shared" si="33"/>
        <v>0.0009</v>
      </c>
      <c r="BI52" s="117">
        <f t="shared" si="34"/>
        <v>54936237</v>
      </c>
    </row>
    <row r="53" spans="2:61" ht="12.75">
      <c r="B53" s="76">
        <v>46</v>
      </c>
      <c r="C53" s="77" t="s">
        <v>52</v>
      </c>
      <c r="D53" s="77">
        <f>'Table 4 Formula'!U53</f>
        <v>2409.2</v>
      </c>
      <c r="E53" s="78">
        <f t="shared" si="35"/>
        <v>1060546</v>
      </c>
      <c r="F53" s="78">
        <f t="shared" si="9"/>
        <v>440.21</v>
      </c>
      <c r="G53" s="78">
        <f t="shared" si="36"/>
        <v>732916</v>
      </c>
      <c r="H53" s="78">
        <f t="shared" si="10"/>
        <v>304.22</v>
      </c>
      <c r="I53" s="78">
        <v>35454</v>
      </c>
      <c r="J53" s="78">
        <f t="shared" si="11"/>
        <v>14.72</v>
      </c>
      <c r="K53" s="78">
        <f t="shared" si="12"/>
        <v>1828916</v>
      </c>
      <c r="L53" s="78">
        <f t="shared" si="13"/>
        <v>759.14</v>
      </c>
      <c r="M53" s="102">
        <f t="shared" si="37"/>
        <v>0.48097368</v>
      </c>
      <c r="N53" s="77">
        <f t="shared" si="38"/>
        <v>60</v>
      </c>
      <c r="O53" s="99">
        <f t="shared" si="39"/>
        <v>17.647</v>
      </c>
      <c r="P53" s="78">
        <f t="shared" si="40"/>
        <v>460529</v>
      </c>
      <c r="Q53" s="78">
        <f t="shared" si="14"/>
        <v>191.15</v>
      </c>
      <c r="R53" s="82">
        <f t="shared" si="41"/>
        <v>0.02</v>
      </c>
      <c r="S53" s="78">
        <f t="shared" si="42"/>
        <v>847302</v>
      </c>
      <c r="T53" s="78">
        <f t="shared" si="15"/>
        <v>351.6943383695833</v>
      </c>
      <c r="U53" s="78">
        <f t="shared" si="16"/>
        <v>35454</v>
      </c>
      <c r="V53" s="77">
        <f t="shared" si="17"/>
        <v>14.72</v>
      </c>
      <c r="W53" s="78">
        <f t="shared" si="18"/>
        <v>1343285</v>
      </c>
      <c r="X53" s="78">
        <f t="shared" si="19"/>
        <v>557.56</v>
      </c>
      <c r="Y53" s="80">
        <f t="shared" si="20"/>
        <v>0.734463</v>
      </c>
      <c r="Z53" s="77">
        <f t="shared" si="43"/>
        <v>54</v>
      </c>
      <c r="AA53" s="77"/>
      <c r="AB53" s="78">
        <v>38016920</v>
      </c>
      <c r="AC53" s="78">
        <v>11920800</v>
      </c>
      <c r="AD53" s="78">
        <f t="shared" si="21"/>
        <v>26096120</v>
      </c>
      <c r="AE53" s="99">
        <v>3.38</v>
      </c>
      <c r="AF53" s="78">
        <v>88732</v>
      </c>
      <c r="AG53" s="99">
        <v>9.48</v>
      </c>
      <c r="AH53" s="78">
        <v>246245</v>
      </c>
      <c r="AI53" s="173">
        <v>0</v>
      </c>
      <c r="AJ53" s="173">
        <v>0</v>
      </c>
      <c r="AK53" s="77">
        <v>6</v>
      </c>
      <c r="AL53" s="78">
        <v>0</v>
      </c>
      <c r="AM53" s="78">
        <f t="shared" si="22"/>
        <v>334977</v>
      </c>
      <c r="AN53" s="175">
        <v>5</v>
      </c>
      <c r="AO53" s="78">
        <v>125552</v>
      </c>
      <c r="AP53" s="100">
        <v>0</v>
      </c>
      <c r="AQ53" s="100">
        <v>0</v>
      </c>
      <c r="AR53" s="77">
        <v>0</v>
      </c>
      <c r="AS53" s="78">
        <v>0</v>
      </c>
      <c r="AT53" s="78">
        <f t="shared" si="23"/>
        <v>125552</v>
      </c>
      <c r="AU53" s="100">
        <f t="shared" si="24"/>
        <v>17.86</v>
      </c>
      <c r="AV53" s="78">
        <f t="shared" si="24"/>
        <v>460529</v>
      </c>
      <c r="AW53" s="78">
        <f t="shared" si="25"/>
        <v>0</v>
      </c>
      <c r="AX53" s="78">
        <f t="shared" si="26"/>
        <v>460529</v>
      </c>
      <c r="AY53" s="101">
        <f t="shared" si="27"/>
        <v>4.811</v>
      </c>
      <c r="AZ53" s="101">
        <f t="shared" si="28"/>
        <v>12.836</v>
      </c>
      <c r="BA53" s="101">
        <f t="shared" si="29"/>
        <v>17.647</v>
      </c>
      <c r="BB53" s="82">
        <v>0.02</v>
      </c>
      <c r="BC53" s="78">
        <v>847302</v>
      </c>
      <c r="BD53" s="78">
        <v>0</v>
      </c>
      <c r="BE53" s="78">
        <f t="shared" si="30"/>
        <v>847302</v>
      </c>
      <c r="BF53" s="78">
        <f t="shared" si="31"/>
        <v>42365100</v>
      </c>
      <c r="BG53" s="82">
        <f t="shared" si="32"/>
        <v>0.02</v>
      </c>
      <c r="BH53" s="82">
        <f t="shared" si="33"/>
        <v>0</v>
      </c>
      <c r="BI53" s="78">
        <f t="shared" si="34"/>
        <v>1343285</v>
      </c>
    </row>
    <row r="54" spans="2:61" ht="12.75">
      <c r="B54" s="76">
        <v>47</v>
      </c>
      <c r="C54" s="77" t="s">
        <v>53</v>
      </c>
      <c r="D54" s="77">
        <f>'Table 4 Formula'!U54</f>
        <v>5675.8</v>
      </c>
      <c r="E54" s="78">
        <f t="shared" si="35"/>
        <v>8725912</v>
      </c>
      <c r="F54" s="78">
        <f t="shared" si="9"/>
        <v>1537.39</v>
      </c>
      <c r="G54" s="78">
        <f t="shared" si="36"/>
        <v>5868358</v>
      </c>
      <c r="H54" s="78">
        <f t="shared" si="10"/>
        <v>1033.93</v>
      </c>
      <c r="I54" s="78">
        <v>92141</v>
      </c>
      <c r="J54" s="78">
        <f t="shared" si="11"/>
        <v>16.23</v>
      </c>
      <c r="K54" s="78">
        <f t="shared" si="12"/>
        <v>14686411</v>
      </c>
      <c r="L54" s="78">
        <f t="shared" si="13"/>
        <v>2587.55</v>
      </c>
      <c r="M54" s="102">
        <f t="shared" si="37"/>
        <v>1.63941229</v>
      </c>
      <c r="N54" s="77">
        <f t="shared" si="38"/>
        <v>4</v>
      </c>
      <c r="O54" s="99">
        <f t="shared" si="39"/>
        <v>37.073</v>
      </c>
      <c r="P54" s="78">
        <f t="shared" si="40"/>
        <v>7959954</v>
      </c>
      <c r="Q54" s="78">
        <f t="shared" si="14"/>
        <v>1402.44</v>
      </c>
      <c r="R54" s="82">
        <f t="shared" si="41"/>
        <v>0.02</v>
      </c>
      <c r="S54" s="78">
        <f t="shared" si="42"/>
        <v>6784229</v>
      </c>
      <c r="T54" s="78">
        <f t="shared" si="15"/>
        <v>1195.2903555445928</v>
      </c>
      <c r="U54" s="78">
        <f t="shared" si="16"/>
        <v>92141</v>
      </c>
      <c r="V54" s="77">
        <f t="shared" si="17"/>
        <v>16.23</v>
      </c>
      <c r="W54" s="78">
        <f t="shared" si="18"/>
        <v>14836324</v>
      </c>
      <c r="X54" s="78">
        <f t="shared" si="19"/>
        <v>2613.96</v>
      </c>
      <c r="Y54" s="80">
        <f t="shared" si="20"/>
        <v>1.010207</v>
      </c>
      <c r="Z54" s="77">
        <f t="shared" si="43"/>
        <v>31</v>
      </c>
      <c r="AA54" s="77"/>
      <c r="AB54" s="78">
        <v>237481329</v>
      </c>
      <c r="AC54" s="78">
        <v>22768924</v>
      </c>
      <c r="AD54" s="78">
        <f t="shared" si="21"/>
        <v>214712405</v>
      </c>
      <c r="AE54" s="99">
        <v>4.02</v>
      </c>
      <c r="AF54" s="78">
        <v>912784</v>
      </c>
      <c r="AG54" s="99">
        <v>21.04</v>
      </c>
      <c r="AH54" s="78">
        <v>4908626</v>
      </c>
      <c r="AI54" s="173">
        <v>0</v>
      </c>
      <c r="AJ54" s="173">
        <v>0</v>
      </c>
      <c r="AK54" s="77">
        <v>0</v>
      </c>
      <c r="AL54" s="78">
        <v>0</v>
      </c>
      <c r="AM54" s="78">
        <f t="shared" si="22"/>
        <v>5821410</v>
      </c>
      <c r="AN54" s="173">
        <v>10</v>
      </c>
      <c r="AO54" s="78">
        <v>2138544</v>
      </c>
      <c r="AP54" s="100">
        <v>0</v>
      </c>
      <c r="AQ54" s="100">
        <v>0</v>
      </c>
      <c r="AR54" s="77">
        <v>0</v>
      </c>
      <c r="AS54" s="78">
        <v>0</v>
      </c>
      <c r="AT54" s="78">
        <f t="shared" si="23"/>
        <v>2138544</v>
      </c>
      <c r="AU54" s="100">
        <f t="shared" si="24"/>
        <v>35.06</v>
      </c>
      <c r="AV54" s="78">
        <f t="shared" si="24"/>
        <v>7959954</v>
      </c>
      <c r="AW54" s="78">
        <f t="shared" si="25"/>
        <v>0</v>
      </c>
      <c r="AX54" s="78">
        <f t="shared" si="26"/>
        <v>7959954</v>
      </c>
      <c r="AY54" s="101">
        <f t="shared" si="27"/>
        <v>9.96</v>
      </c>
      <c r="AZ54" s="101">
        <f t="shared" si="28"/>
        <v>27.113</v>
      </c>
      <c r="BA54" s="101">
        <f t="shared" si="29"/>
        <v>37.073</v>
      </c>
      <c r="BB54" s="82">
        <v>0.02</v>
      </c>
      <c r="BC54" s="78">
        <v>6784229</v>
      </c>
      <c r="BD54" s="78">
        <v>0</v>
      </c>
      <c r="BE54" s="78">
        <f t="shared" si="30"/>
        <v>6784229</v>
      </c>
      <c r="BF54" s="78">
        <f t="shared" si="31"/>
        <v>339211450</v>
      </c>
      <c r="BG54" s="82">
        <f t="shared" si="32"/>
        <v>0.02</v>
      </c>
      <c r="BH54" s="82">
        <f t="shared" si="33"/>
        <v>0</v>
      </c>
      <c r="BI54" s="78">
        <f t="shared" si="34"/>
        <v>14836324</v>
      </c>
    </row>
    <row r="55" spans="2:61" ht="12.75">
      <c r="B55" s="76">
        <v>48</v>
      </c>
      <c r="C55" s="77" t="s">
        <v>54</v>
      </c>
      <c r="D55" s="77">
        <f>'Table 4 Formula'!U55</f>
        <v>9567.33</v>
      </c>
      <c r="E55" s="78">
        <f t="shared" si="35"/>
        <v>6087714</v>
      </c>
      <c r="F55" s="78">
        <f t="shared" si="9"/>
        <v>636.3</v>
      </c>
      <c r="G55" s="78">
        <f t="shared" si="36"/>
        <v>9640262</v>
      </c>
      <c r="H55" s="78">
        <f t="shared" si="10"/>
        <v>1007.62</v>
      </c>
      <c r="I55" s="78">
        <v>216081</v>
      </c>
      <c r="J55" s="78">
        <f t="shared" si="11"/>
        <v>22.59</v>
      </c>
      <c r="K55" s="78">
        <f t="shared" si="12"/>
        <v>15944057</v>
      </c>
      <c r="L55" s="78">
        <f t="shared" si="13"/>
        <v>1666.51</v>
      </c>
      <c r="M55" s="102">
        <f t="shared" si="37"/>
        <v>1.05586249</v>
      </c>
      <c r="N55" s="77">
        <f t="shared" si="38"/>
        <v>16</v>
      </c>
      <c r="O55" s="99">
        <f t="shared" si="39"/>
        <v>44.737</v>
      </c>
      <c r="P55" s="78">
        <f t="shared" si="40"/>
        <v>6701392</v>
      </c>
      <c r="Q55" s="78">
        <f t="shared" si="14"/>
        <v>700.45</v>
      </c>
      <c r="R55" s="82">
        <f t="shared" si="41"/>
        <v>0.02</v>
      </c>
      <c r="S55" s="78">
        <f t="shared" si="42"/>
        <v>11144812</v>
      </c>
      <c r="T55" s="78">
        <f t="shared" si="15"/>
        <v>1164.882156254671</v>
      </c>
      <c r="U55" s="78">
        <f t="shared" si="16"/>
        <v>216081</v>
      </c>
      <c r="V55" s="77">
        <f t="shared" si="17"/>
        <v>22.59</v>
      </c>
      <c r="W55" s="78">
        <f t="shared" si="18"/>
        <v>18062285</v>
      </c>
      <c r="X55" s="78">
        <f t="shared" si="19"/>
        <v>1887.91</v>
      </c>
      <c r="Y55" s="80">
        <f t="shared" si="20"/>
        <v>1.132852</v>
      </c>
      <c r="Z55" s="77">
        <f t="shared" si="43"/>
        <v>13</v>
      </c>
      <c r="AA55" s="77"/>
      <c r="AB55" s="78">
        <v>208660302</v>
      </c>
      <c r="AC55" s="78">
        <v>58864202</v>
      </c>
      <c r="AD55" s="78">
        <f t="shared" si="21"/>
        <v>149796100</v>
      </c>
      <c r="AE55" s="99">
        <v>3.87</v>
      </c>
      <c r="AF55" s="78">
        <v>555967</v>
      </c>
      <c r="AG55" s="99">
        <v>18.6</v>
      </c>
      <c r="AH55" s="78">
        <v>2672125</v>
      </c>
      <c r="AI55" s="173">
        <v>0</v>
      </c>
      <c r="AJ55" s="173">
        <v>0</v>
      </c>
      <c r="AK55" s="77">
        <v>0</v>
      </c>
      <c r="AL55" s="78">
        <v>0</v>
      </c>
      <c r="AM55" s="78">
        <f t="shared" si="22"/>
        <v>3228092</v>
      </c>
      <c r="AN55" s="173">
        <v>24.12</v>
      </c>
      <c r="AO55" s="78">
        <v>3473300</v>
      </c>
      <c r="AP55" s="100">
        <v>0</v>
      </c>
      <c r="AQ55" s="100">
        <v>0</v>
      </c>
      <c r="AR55" s="77">
        <v>0</v>
      </c>
      <c r="AS55" s="78">
        <v>0</v>
      </c>
      <c r="AT55" s="78">
        <f t="shared" si="23"/>
        <v>3473300</v>
      </c>
      <c r="AU55" s="100">
        <f t="shared" si="24"/>
        <v>46.59</v>
      </c>
      <c r="AV55" s="78">
        <f t="shared" si="24"/>
        <v>6701392</v>
      </c>
      <c r="AW55" s="78">
        <f t="shared" si="25"/>
        <v>0</v>
      </c>
      <c r="AX55" s="78">
        <f t="shared" si="26"/>
        <v>6701392</v>
      </c>
      <c r="AY55" s="101">
        <f t="shared" si="27"/>
        <v>23.187</v>
      </c>
      <c r="AZ55" s="101">
        <f t="shared" si="28"/>
        <v>21.55</v>
      </c>
      <c r="BA55" s="101">
        <f t="shared" si="29"/>
        <v>44.737</v>
      </c>
      <c r="BB55" s="82">
        <v>0.02</v>
      </c>
      <c r="BC55" s="78">
        <v>11144812</v>
      </c>
      <c r="BD55" s="78">
        <v>0</v>
      </c>
      <c r="BE55" s="78">
        <f t="shared" si="30"/>
        <v>11144812</v>
      </c>
      <c r="BF55" s="78">
        <f t="shared" si="31"/>
        <v>557240600</v>
      </c>
      <c r="BG55" s="82">
        <f t="shared" si="32"/>
        <v>0.02</v>
      </c>
      <c r="BH55" s="82">
        <f t="shared" si="33"/>
        <v>0</v>
      </c>
      <c r="BI55" s="78">
        <f t="shared" si="34"/>
        <v>18062285</v>
      </c>
    </row>
    <row r="56" spans="2:61" ht="12.75">
      <c r="B56" s="76">
        <v>49</v>
      </c>
      <c r="C56" s="77" t="s">
        <v>55</v>
      </c>
      <c r="D56" s="77">
        <f>'Table 4 Formula'!U56</f>
        <v>21953.92</v>
      </c>
      <c r="E56" s="78">
        <f t="shared" si="35"/>
        <v>9262619</v>
      </c>
      <c r="F56" s="78">
        <f t="shared" si="9"/>
        <v>421.91</v>
      </c>
      <c r="G56" s="78">
        <f t="shared" si="36"/>
        <v>11504384</v>
      </c>
      <c r="H56" s="78">
        <f t="shared" si="10"/>
        <v>524.02</v>
      </c>
      <c r="I56" s="78">
        <v>692328</v>
      </c>
      <c r="J56" s="78">
        <f t="shared" si="11"/>
        <v>31.54</v>
      </c>
      <c r="K56" s="78">
        <f t="shared" si="12"/>
        <v>21459331</v>
      </c>
      <c r="L56" s="78">
        <f t="shared" si="13"/>
        <v>977.47</v>
      </c>
      <c r="M56" s="102">
        <f t="shared" si="37"/>
        <v>0.61930256</v>
      </c>
      <c r="N56" s="77">
        <f t="shared" si="38"/>
        <v>44</v>
      </c>
      <c r="O56" s="99">
        <f t="shared" si="39"/>
        <v>31.498</v>
      </c>
      <c r="P56" s="78">
        <f t="shared" si="40"/>
        <v>7178934</v>
      </c>
      <c r="Q56" s="78">
        <f t="shared" si="14"/>
        <v>327</v>
      </c>
      <c r="R56" s="82">
        <f t="shared" si="41"/>
        <v>0.01</v>
      </c>
      <c r="S56" s="78">
        <f t="shared" si="42"/>
        <v>6649933</v>
      </c>
      <c r="T56" s="78">
        <f t="shared" si="15"/>
        <v>302.90412828324054</v>
      </c>
      <c r="U56" s="78">
        <f t="shared" si="16"/>
        <v>692328</v>
      </c>
      <c r="V56" s="77">
        <f t="shared" si="17"/>
        <v>31.54</v>
      </c>
      <c r="W56" s="78">
        <f t="shared" si="18"/>
        <v>14521195</v>
      </c>
      <c r="X56" s="78">
        <f t="shared" si="19"/>
        <v>661.44</v>
      </c>
      <c r="Y56" s="80">
        <f t="shared" si="20"/>
        <v>0.676686</v>
      </c>
      <c r="Z56" s="77">
        <f t="shared" si="43"/>
        <v>58</v>
      </c>
      <c r="AA56" s="77"/>
      <c r="AB56" s="78">
        <v>305515960</v>
      </c>
      <c r="AC56" s="78">
        <v>77597180</v>
      </c>
      <c r="AD56" s="78">
        <f t="shared" si="21"/>
        <v>227918780</v>
      </c>
      <c r="AE56" s="99">
        <v>4.66</v>
      </c>
      <c r="AF56" s="78">
        <v>1008599</v>
      </c>
      <c r="AG56" s="99">
        <v>16.9</v>
      </c>
      <c r="AH56" s="78">
        <v>3657914</v>
      </c>
      <c r="AI56" s="173">
        <v>0</v>
      </c>
      <c r="AJ56" s="173">
        <v>0</v>
      </c>
      <c r="AK56" s="77">
        <v>0</v>
      </c>
      <c r="AL56" s="78">
        <v>0</v>
      </c>
      <c r="AM56" s="78">
        <f t="shared" si="22"/>
        <v>4666513</v>
      </c>
      <c r="AN56" s="173">
        <v>11.6</v>
      </c>
      <c r="AO56" s="78">
        <v>2512421</v>
      </c>
      <c r="AP56" s="100">
        <v>0</v>
      </c>
      <c r="AQ56" s="100">
        <v>0</v>
      </c>
      <c r="AR56" s="77">
        <v>0</v>
      </c>
      <c r="AS56" s="78">
        <v>0</v>
      </c>
      <c r="AT56" s="78">
        <f t="shared" si="23"/>
        <v>2512421</v>
      </c>
      <c r="AU56" s="100">
        <f t="shared" si="24"/>
        <v>33.16</v>
      </c>
      <c r="AV56" s="78">
        <f t="shared" si="24"/>
        <v>7178934</v>
      </c>
      <c r="AW56" s="78">
        <f t="shared" si="25"/>
        <v>0</v>
      </c>
      <c r="AX56" s="78">
        <f t="shared" si="26"/>
        <v>7178934</v>
      </c>
      <c r="AY56" s="101">
        <f t="shared" si="27"/>
        <v>11.023</v>
      </c>
      <c r="AZ56" s="101">
        <f t="shared" si="28"/>
        <v>20.474</v>
      </c>
      <c r="BA56" s="101">
        <f t="shared" si="29"/>
        <v>31.498</v>
      </c>
      <c r="BB56" s="82">
        <v>0.01</v>
      </c>
      <c r="BC56" s="78">
        <v>6649933</v>
      </c>
      <c r="BD56" s="78">
        <v>0</v>
      </c>
      <c r="BE56" s="78">
        <f t="shared" si="30"/>
        <v>6649933</v>
      </c>
      <c r="BF56" s="78">
        <f t="shared" si="31"/>
        <v>664993300</v>
      </c>
      <c r="BG56" s="82">
        <f t="shared" si="32"/>
        <v>0.01</v>
      </c>
      <c r="BH56" s="82">
        <f t="shared" si="33"/>
        <v>0</v>
      </c>
      <c r="BI56" s="78">
        <f t="shared" si="34"/>
        <v>14521195</v>
      </c>
    </row>
    <row r="57" spans="2:61" ht="12.75">
      <c r="B57" s="115">
        <v>50</v>
      </c>
      <c r="C57" s="116" t="s">
        <v>56</v>
      </c>
      <c r="D57" s="116">
        <f>'Table 4 Formula'!U57</f>
        <v>11705.51</v>
      </c>
      <c r="E57" s="117">
        <f t="shared" si="35"/>
        <v>3794837</v>
      </c>
      <c r="F57" s="117">
        <f t="shared" si="9"/>
        <v>324.19</v>
      </c>
      <c r="G57" s="117">
        <f t="shared" si="36"/>
        <v>6613297</v>
      </c>
      <c r="H57" s="117">
        <f t="shared" si="10"/>
        <v>564.97</v>
      </c>
      <c r="I57" s="117">
        <v>503807</v>
      </c>
      <c r="J57" s="117">
        <f t="shared" si="11"/>
        <v>43.04</v>
      </c>
      <c r="K57" s="117">
        <f t="shared" si="12"/>
        <v>10911941</v>
      </c>
      <c r="L57" s="117">
        <f t="shared" si="13"/>
        <v>932.21</v>
      </c>
      <c r="M57" s="128">
        <f t="shared" si="37"/>
        <v>0.59062686</v>
      </c>
      <c r="N57" s="116">
        <f t="shared" si="38"/>
        <v>49</v>
      </c>
      <c r="O57" s="125">
        <f t="shared" si="39"/>
        <v>37.622</v>
      </c>
      <c r="P57" s="117">
        <f t="shared" si="40"/>
        <v>3513035</v>
      </c>
      <c r="Q57" s="117">
        <f t="shared" si="14"/>
        <v>300.12</v>
      </c>
      <c r="R57" s="122">
        <f t="shared" si="41"/>
        <v>0.02</v>
      </c>
      <c r="S57" s="117">
        <f t="shared" si="42"/>
        <v>7645430</v>
      </c>
      <c r="T57" s="117">
        <f t="shared" si="15"/>
        <v>653.147961942709</v>
      </c>
      <c r="U57" s="117">
        <f t="shared" si="16"/>
        <v>503807</v>
      </c>
      <c r="V57" s="116">
        <f t="shared" si="17"/>
        <v>43.04</v>
      </c>
      <c r="W57" s="117">
        <f t="shared" si="18"/>
        <v>11662272</v>
      </c>
      <c r="X57" s="117">
        <f t="shared" si="19"/>
        <v>996.31</v>
      </c>
      <c r="Y57" s="120">
        <f t="shared" si="20"/>
        <v>1.068761</v>
      </c>
      <c r="Z57" s="116">
        <f t="shared" si="43"/>
        <v>21</v>
      </c>
      <c r="AA57" s="116"/>
      <c r="AB57" s="117">
        <v>140611243</v>
      </c>
      <c r="AC57" s="117">
        <v>47234352</v>
      </c>
      <c r="AD57" s="117">
        <f t="shared" si="21"/>
        <v>93376891</v>
      </c>
      <c r="AE57" s="125">
        <v>3.31</v>
      </c>
      <c r="AF57" s="117">
        <v>296082</v>
      </c>
      <c r="AG57" s="125">
        <v>12.11</v>
      </c>
      <c r="AH57" s="117">
        <v>1083242</v>
      </c>
      <c r="AI57" s="174">
        <v>0</v>
      </c>
      <c r="AJ57" s="174">
        <v>0</v>
      </c>
      <c r="AK57" s="116">
        <v>0</v>
      </c>
      <c r="AL57" s="117">
        <v>0</v>
      </c>
      <c r="AM57" s="117">
        <f t="shared" si="22"/>
        <v>1379324</v>
      </c>
      <c r="AN57" s="174">
        <v>24</v>
      </c>
      <c r="AO57" s="117">
        <v>2133711</v>
      </c>
      <c r="AP57" s="126">
        <v>0</v>
      </c>
      <c r="AQ57" s="126">
        <v>0</v>
      </c>
      <c r="AR57" s="116">
        <v>0</v>
      </c>
      <c r="AS57" s="117">
        <v>0</v>
      </c>
      <c r="AT57" s="117">
        <f t="shared" si="23"/>
        <v>2133711</v>
      </c>
      <c r="AU57" s="126">
        <f t="shared" si="24"/>
        <v>39.42</v>
      </c>
      <c r="AV57" s="117">
        <f t="shared" si="24"/>
        <v>3513035</v>
      </c>
      <c r="AW57" s="117">
        <f t="shared" si="25"/>
        <v>0</v>
      </c>
      <c r="AX57" s="117">
        <f t="shared" si="26"/>
        <v>3513035</v>
      </c>
      <c r="AY57" s="127">
        <f t="shared" si="27"/>
        <v>22.851</v>
      </c>
      <c r="AZ57" s="127">
        <f t="shared" si="28"/>
        <v>14.772</v>
      </c>
      <c r="BA57" s="127">
        <f t="shared" si="29"/>
        <v>37.622</v>
      </c>
      <c r="BB57" s="122">
        <v>0.02</v>
      </c>
      <c r="BC57" s="117">
        <v>7423085</v>
      </c>
      <c r="BD57" s="117">
        <v>222345</v>
      </c>
      <c r="BE57" s="117">
        <f t="shared" si="30"/>
        <v>7645430</v>
      </c>
      <c r="BF57" s="117">
        <f t="shared" si="31"/>
        <v>382271500</v>
      </c>
      <c r="BG57" s="122">
        <f t="shared" si="32"/>
        <v>0.0194</v>
      </c>
      <c r="BH57" s="122">
        <f t="shared" si="33"/>
        <v>0.0006</v>
      </c>
      <c r="BI57" s="117">
        <f t="shared" si="34"/>
        <v>11662272</v>
      </c>
    </row>
    <row r="58" spans="2:61" ht="12.75">
      <c r="B58" s="76">
        <v>51</v>
      </c>
      <c r="C58" s="77" t="s">
        <v>57</v>
      </c>
      <c r="D58" s="77">
        <f>'Table 4 Formula'!U58</f>
        <v>14508.67</v>
      </c>
      <c r="E58" s="78">
        <f t="shared" si="35"/>
        <v>9641339</v>
      </c>
      <c r="F58" s="78">
        <f t="shared" si="9"/>
        <v>664.52</v>
      </c>
      <c r="G58" s="78">
        <f t="shared" si="36"/>
        <v>11452608</v>
      </c>
      <c r="H58" s="78">
        <f t="shared" si="10"/>
        <v>789.36</v>
      </c>
      <c r="I58" s="78">
        <v>581103</v>
      </c>
      <c r="J58" s="78">
        <f t="shared" si="11"/>
        <v>40.05</v>
      </c>
      <c r="K58" s="78">
        <f t="shared" si="12"/>
        <v>21675050</v>
      </c>
      <c r="L58" s="78">
        <f t="shared" si="13"/>
        <v>1493.94</v>
      </c>
      <c r="M58" s="102">
        <f t="shared" si="37"/>
        <v>0.9465261</v>
      </c>
      <c r="N58" s="77">
        <f t="shared" si="38"/>
        <v>21</v>
      </c>
      <c r="O58" s="99">
        <f t="shared" si="39"/>
        <v>40.395</v>
      </c>
      <c r="P58" s="78">
        <f t="shared" si="40"/>
        <v>9583297</v>
      </c>
      <c r="Q58" s="78">
        <f t="shared" si="14"/>
        <v>660.52</v>
      </c>
      <c r="R58" s="82">
        <f t="shared" si="41"/>
        <v>0.0175</v>
      </c>
      <c r="S58" s="78">
        <f t="shared" si="42"/>
        <v>11585008</v>
      </c>
      <c r="T58" s="78">
        <f t="shared" si="15"/>
        <v>798.4886278342536</v>
      </c>
      <c r="U58" s="78">
        <f t="shared" si="16"/>
        <v>581103</v>
      </c>
      <c r="V58" s="77">
        <f t="shared" si="17"/>
        <v>40.05</v>
      </c>
      <c r="W58" s="78">
        <f t="shared" si="18"/>
        <v>21749408</v>
      </c>
      <c r="X58" s="78">
        <f t="shared" si="19"/>
        <v>1499.06</v>
      </c>
      <c r="Y58" s="80">
        <f t="shared" si="20"/>
        <v>1.003427</v>
      </c>
      <c r="Z58" s="77">
        <f t="shared" si="43"/>
        <v>34</v>
      </c>
      <c r="AA58" s="77"/>
      <c r="AB58" s="78">
        <v>281874118</v>
      </c>
      <c r="AC58" s="78">
        <v>44636453</v>
      </c>
      <c r="AD58" s="78">
        <f t="shared" si="21"/>
        <v>237237665</v>
      </c>
      <c r="AE58" s="99">
        <v>8.65</v>
      </c>
      <c r="AF58" s="78">
        <v>1983322</v>
      </c>
      <c r="AG58" s="99">
        <v>11.45</v>
      </c>
      <c r="AH58" s="78">
        <v>2624797</v>
      </c>
      <c r="AI58" s="173">
        <v>10.38</v>
      </c>
      <c r="AJ58" s="173">
        <v>13.37</v>
      </c>
      <c r="AK58" s="77">
        <v>3</v>
      </c>
      <c r="AL58" s="78">
        <v>2796028</v>
      </c>
      <c r="AM58" s="78">
        <f t="shared" si="22"/>
        <v>7404147</v>
      </c>
      <c r="AN58" s="175">
        <v>0</v>
      </c>
      <c r="AO58" s="78">
        <v>0</v>
      </c>
      <c r="AP58" s="173">
        <v>12</v>
      </c>
      <c r="AQ58" s="173">
        <v>33</v>
      </c>
      <c r="AR58" s="77">
        <v>2</v>
      </c>
      <c r="AS58" s="78">
        <v>2179150</v>
      </c>
      <c r="AT58" s="78">
        <f t="shared" si="23"/>
        <v>2179150</v>
      </c>
      <c r="AU58" s="100">
        <f t="shared" si="24"/>
        <v>20.1</v>
      </c>
      <c r="AV58" s="78">
        <f t="shared" si="24"/>
        <v>4608119</v>
      </c>
      <c r="AW58" s="78">
        <f t="shared" si="25"/>
        <v>4975178</v>
      </c>
      <c r="AX58" s="78">
        <f t="shared" si="26"/>
        <v>9583297</v>
      </c>
      <c r="AY58" s="101">
        <f t="shared" si="27"/>
        <v>9.186</v>
      </c>
      <c r="AZ58" s="101">
        <f t="shared" si="28"/>
        <v>31.21</v>
      </c>
      <c r="BA58" s="101">
        <f t="shared" si="29"/>
        <v>40.395</v>
      </c>
      <c r="BB58" s="82">
        <v>0.0175</v>
      </c>
      <c r="BC58" s="78">
        <v>11585008</v>
      </c>
      <c r="BD58" s="78">
        <v>0</v>
      </c>
      <c r="BE58" s="78">
        <f t="shared" si="30"/>
        <v>11585008</v>
      </c>
      <c r="BF58" s="78">
        <f t="shared" si="31"/>
        <v>662000457</v>
      </c>
      <c r="BG58" s="82">
        <f t="shared" si="32"/>
        <v>0.0175</v>
      </c>
      <c r="BH58" s="82">
        <f t="shared" si="33"/>
        <v>0</v>
      </c>
      <c r="BI58" s="78">
        <f t="shared" si="34"/>
        <v>21749408</v>
      </c>
    </row>
    <row r="59" spans="2:61" ht="12.75">
      <c r="B59" s="76">
        <v>52</v>
      </c>
      <c r="C59" s="77" t="s">
        <v>58</v>
      </c>
      <c r="D59" s="77">
        <f>'Table 4 Formula'!U59</f>
        <v>43147.2</v>
      </c>
      <c r="E59" s="78">
        <f t="shared" si="35"/>
        <v>17693677</v>
      </c>
      <c r="F59" s="78">
        <f t="shared" si="9"/>
        <v>410.08</v>
      </c>
      <c r="G59" s="78">
        <f t="shared" si="36"/>
        <v>37315054</v>
      </c>
      <c r="H59" s="78">
        <f t="shared" si="10"/>
        <v>864.83</v>
      </c>
      <c r="I59" s="78">
        <v>1781976</v>
      </c>
      <c r="J59" s="78">
        <f t="shared" si="11"/>
        <v>41.3</v>
      </c>
      <c r="K59" s="78">
        <f t="shared" si="12"/>
        <v>56790707</v>
      </c>
      <c r="L59" s="78">
        <f t="shared" si="13"/>
        <v>1316.21</v>
      </c>
      <c r="M59" s="102">
        <f t="shared" si="37"/>
        <v>0.83392045</v>
      </c>
      <c r="N59" s="77">
        <f t="shared" si="38"/>
        <v>27</v>
      </c>
      <c r="O59" s="99">
        <f t="shared" si="39"/>
        <v>85.018</v>
      </c>
      <c r="P59" s="78">
        <f t="shared" si="40"/>
        <v>37014699</v>
      </c>
      <c r="Q59" s="78">
        <f t="shared" si="14"/>
        <v>857.87</v>
      </c>
      <c r="R59" s="82">
        <f t="shared" si="41"/>
        <v>0.02</v>
      </c>
      <c r="S59" s="78">
        <f t="shared" si="42"/>
        <v>43138791</v>
      </c>
      <c r="T59" s="78">
        <f t="shared" si="15"/>
        <v>999.8051090221383</v>
      </c>
      <c r="U59" s="78">
        <f t="shared" si="16"/>
        <v>1781976</v>
      </c>
      <c r="V59" s="77">
        <f t="shared" si="17"/>
        <v>41.3</v>
      </c>
      <c r="W59" s="78">
        <f t="shared" si="18"/>
        <v>81935466</v>
      </c>
      <c r="X59" s="78">
        <f t="shared" si="19"/>
        <v>1898.98</v>
      </c>
      <c r="Y59" s="80">
        <f t="shared" si="20"/>
        <v>1.442764</v>
      </c>
      <c r="Z59" s="77">
        <f t="shared" si="43"/>
        <v>2</v>
      </c>
      <c r="AA59" s="77"/>
      <c r="AB59" s="78">
        <v>744016121</v>
      </c>
      <c r="AC59" s="78">
        <v>308640221</v>
      </c>
      <c r="AD59" s="78">
        <f t="shared" si="21"/>
        <v>435375900</v>
      </c>
      <c r="AE59" s="99">
        <v>4.47</v>
      </c>
      <c r="AF59" s="78">
        <v>1899863</v>
      </c>
      <c r="AG59" s="99">
        <v>56.73</v>
      </c>
      <c r="AH59" s="78">
        <v>24106646</v>
      </c>
      <c r="AI59" s="173">
        <v>0</v>
      </c>
      <c r="AJ59" s="173">
        <v>0</v>
      </c>
      <c r="AK59" s="77">
        <v>0</v>
      </c>
      <c r="AL59" s="78">
        <v>0</v>
      </c>
      <c r="AM59" s="78">
        <f t="shared" si="22"/>
        <v>26006509</v>
      </c>
      <c r="AN59" s="173">
        <v>25.9</v>
      </c>
      <c r="AO59" s="78">
        <v>11008190</v>
      </c>
      <c r="AP59" s="100">
        <v>0</v>
      </c>
      <c r="AQ59" s="100">
        <v>0</v>
      </c>
      <c r="AR59" s="77">
        <v>0</v>
      </c>
      <c r="AS59" s="78">
        <v>0</v>
      </c>
      <c r="AT59" s="78">
        <f t="shared" si="23"/>
        <v>11008190</v>
      </c>
      <c r="AU59" s="100">
        <f t="shared" si="24"/>
        <v>87.1</v>
      </c>
      <c r="AV59" s="78">
        <f t="shared" si="24"/>
        <v>37014699</v>
      </c>
      <c r="AW59" s="78">
        <f t="shared" si="25"/>
        <v>0</v>
      </c>
      <c r="AX59" s="78">
        <f t="shared" si="26"/>
        <v>37014699</v>
      </c>
      <c r="AY59" s="101">
        <f t="shared" si="27"/>
        <v>25.284</v>
      </c>
      <c r="AZ59" s="101">
        <f t="shared" si="28"/>
        <v>59.733</v>
      </c>
      <c r="BA59" s="101">
        <f t="shared" si="29"/>
        <v>85.018</v>
      </c>
      <c r="BB59" s="82">
        <v>0.02</v>
      </c>
      <c r="BC59" s="78">
        <v>41148791</v>
      </c>
      <c r="BD59" s="78">
        <v>1990000</v>
      </c>
      <c r="BE59" s="78">
        <f t="shared" si="30"/>
        <v>43138791</v>
      </c>
      <c r="BF59" s="78">
        <f t="shared" si="31"/>
        <v>2156939550</v>
      </c>
      <c r="BG59" s="82">
        <f t="shared" si="32"/>
        <v>0.0191</v>
      </c>
      <c r="BH59" s="82">
        <f t="shared" si="33"/>
        <v>0.0009</v>
      </c>
      <c r="BI59" s="78">
        <f t="shared" si="34"/>
        <v>81935466</v>
      </c>
    </row>
    <row r="60" spans="2:61" ht="12.75">
      <c r="B60" s="76">
        <v>53</v>
      </c>
      <c r="C60" s="77" t="s">
        <v>59</v>
      </c>
      <c r="D60" s="77">
        <f>'Table 4 Formula'!U60</f>
        <v>24847.190000000002</v>
      </c>
      <c r="E60" s="78">
        <f t="shared" si="35"/>
        <v>7243724</v>
      </c>
      <c r="F60" s="78">
        <f t="shared" si="9"/>
        <v>291.53</v>
      </c>
      <c r="G60" s="78">
        <f t="shared" si="36"/>
        <v>16724142</v>
      </c>
      <c r="H60" s="78">
        <f t="shared" si="10"/>
        <v>673.08</v>
      </c>
      <c r="I60" s="78">
        <v>112892</v>
      </c>
      <c r="J60" s="78">
        <f t="shared" si="11"/>
        <v>4.54</v>
      </c>
      <c r="K60" s="78">
        <f t="shared" si="12"/>
        <v>24080758</v>
      </c>
      <c r="L60" s="78">
        <f t="shared" si="13"/>
        <v>969.15</v>
      </c>
      <c r="M60" s="102">
        <f t="shared" si="37"/>
        <v>0.6140312</v>
      </c>
      <c r="N60" s="77">
        <f t="shared" si="38"/>
        <v>45</v>
      </c>
      <c r="O60" s="99">
        <f t="shared" si="39"/>
        <v>21.544</v>
      </c>
      <c r="P60" s="78">
        <f t="shared" si="40"/>
        <v>3839999</v>
      </c>
      <c r="Q60" s="78">
        <f t="shared" si="14"/>
        <v>154.54</v>
      </c>
      <c r="R60" s="82">
        <f t="shared" si="41"/>
        <v>0.02</v>
      </c>
      <c r="S60" s="78">
        <f t="shared" si="42"/>
        <v>19334268</v>
      </c>
      <c r="T60" s="78">
        <f t="shared" si="15"/>
        <v>778.1269431271704</v>
      </c>
      <c r="U60" s="78">
        <f t="shared" si="16"/>
        <v>112892</v>
      </c>
      <c r="V60" s="77">
        <f t="shared" si="17"/>
        <v>4.54</v>
      </c>
      <c r="W60" s="78">
        <f t="shared" si="18"/>
        <v>23287159</v>
      </c>
      <c r="X60" s="78">
        <f t="shared" si="19"/>
        <v>937.21</v>
      </c>
      <c r="Y60" s="80">
        <f t="shared" si="20"/>
        <v>0.967043</v>
      </c>
      <c r="Z60" s="77">
        <f t="shared" si="43"/>
        <v>36</v>
      </c>
      <c r="AA60" s="77"/>
      <c r="AB60" s="78">
        <v>290356311</v>
      </c>
      <c r="AC60" s="78">
        <v>112115066</v>
      </c>
      <c r="AD60" s="78">
        <f t="shared" si="21"/>
        <v>178241245</v>
      </c>
      <c r="AE60" s="99">
        <v>4.06</v>
      </c>
      <c r="AF60" s="78">
        <v>722801</v>
      </c>
      <c r="AG60" s="99">
        <v>0</v>
      </c>
      <c r="AH60" s="78">
        <v>0</v>
      </c>
      <c r="AI60" s="173">
        <v>0</v>
      </c>
      <c r="AJ60" s="173">
        <v>3</v>
      </c>
      <c r="AK60" s="77">
        <v>1</v>
      </c>
      <c r="AL60" s="78">
        <v>300153</v>
      </c>
      <c r="AM60" s="78">
        <f t="shared" si="22"/>
        <v>1022954</v>
      </c>
      <c r="AN60" s="175">
        <v>0</v>
      </c>
      <c r="AO60" s="78">
        <v>0</v>
      </c>
      <c r="AP60" s="173">
        <v>8</v>
      </c>
      <c r="AQ60" s="173">
        <v>44</v>
      </c>
      <c r="AR60" s="77">
        <v>8</v>
      </c>
      <c r="AS60" s="78">
        <v>2817045</v>
      </c>
      <c r="AT60" s="78">
        <f t="shared" si="23"/>
        <v>2817045</v>
      </c>
      <c r="AU60" s="100">
        <f t="shared" si="24"/>
        <v>4.06</v>
      </c>
      <c r="AV60" s="78">
        <f t="shared" si="24"/>
        <v>722801</v>
      </c>
      <c r="AW60" s="78">
        <f t="shared" si="25"/>
        <v>3117198</v>
      </c>
      <c r="AX60" s="78">
        <f t="shared" si="26"/>
        <v>3839999</v>
      </c>
      <c r="AY60" s="101">
        <f t="shared" si="27"/>
        <v>15.805</v>
      </c>
      <c r="AZ60" s="101">
        <f t="shared" si="28"/>
        <v>5.739</v>
      </c>
      <c r="BA60" s="101">
        <f t="shared" si="29"/>
        <v>21.544</v>
      </c>
      <c r="BB60" s="82">
        <v>0.02</v>
      </c>
      <c r="BC60" s="78">
        <v>16051780</v>
      </c>
      <c r="BD60" s="78">
        <v>3282488</v>
      </c>
      <c r="BE60" s="78">
        <f t="shared" si="30"/>
        <v>19334268</v>
      </c>
      <c r="BF60" s="78">
        <f t="shared" si="31"/>
        <v>966713400</v>
      </c>
      <c r="BG60" s="82">
        <f t="shared" si="32"/>
        <v>0.0166</v>
      </c>
      <c r="BH60" s="82">
        <f t="shared" si="33"/>
        <v>0.0034</v>
      </c>
      <c r="BI60" s="78">
        <f t="shared" si="34"/>
        <v>23287159</v>
      </c>
    </row>
    <row r="61" spans="2:61" ht="12.75">
      <c r="B61" s="76">
        <v>54</v>
      </c>
      <c r="C61" s="77" t="s">
        <v>60</v>
      </c>
      <c r="D61" s="77">
        <f>'Table 4 Formula'!U61</f>
        <v>1938.28</v>
      </c>
      <c r="E61" s="78">
        <f t="shared" si="35"/>
        <v>1257412</v>
      </c>
      <c r="F61" s="78">
        <f t="shared" si="9"/>
        <v>648.73</v>
      </c>
      <c r="G61" s="78">
        <f t="shared" si="36"/>
        <v>717526</v>
      </c>
      <c r="H61" s="78">
        <f t="shared" si="10"/>
        <v>370.19</v>
      </c>
      <c r="I61" s="78">
        <v>66778</v>
      </c>
      <c r="J61" s="78">
        <f t="shared" si="11"/>
        <v>34.45</v>
      </c>
      <c r="K61" s="78">
        <f t="shared" si="12"/>
        <v>2041716</v>
      </c>
      <c r="L61" s="78">
        <f t="shared" si="13"/>
        <v>1053.36</v>
      </c>
      <c r="M61" s="102">
        <f t="shared" si="37"/>
        <v>0.66738472</v>
      </c>
      <c r="N61" s="77">
        <f t="shared" si="38"/>
        <v>40</v>
      </c>
      <c r="O61" s="99">
        <f t="shared" si="39"/>
        <v>20.139</v>
      </c>
      <c r="P61" s="78">
        <f t="shared" si="40"/>
        <v>623118</v>
      </c>
      <c r="Q61" s="78">
        <f t="shared" si="14"/>
        <v>321.48</v>
      </c>
      <c r="R61" s="82">
        <f t="shared" si="41"/>
        <v>0.01</v>
      </c>
      <c r="S61" s="78">
        <f t="shared" si="42"/>
        <v>414755</v>
      </c>
      <c r="T61" s="78">
        <f t="shared" si="15"/>
        <v>213.9809521844109</v>
      </c>
      <c r="U61" s="78">
        <f t="shared" si="16"/>
        <v>66778</v>
      </c>
      <c r="V61" s="77">
        <f t="shared" si="17"/>
        <v>34.45</v>
      </c>
      <c r="W61" s="78">
        <f t="shared" si="18"/>
        <v>1104651</v>
      </c>
      <c r="X61" s="78">
        <f t="shared" si="19"/>
        <v>569.91</v>
      </c>
      <c r="Y61" s="80">
        <f t="shared" si="20"/>
        <v>0.54104</v>
      </c>
      <c r="Z61" s="77">
        <f t="shared" si="43"/>
        <v>65</v>
      </c>
      <c r="AA61" s="77"/>
      <c r="AB61" s="78">
        <v>37296198</v>
      </c>
      <c r="AC61" s="78">
        <v>6355945</v>
      </c>
      <c r="AD61" s="78">
        <f t="shared" si="21"/>
        <v>30940253</v>
      </c>
      <c r="AE61" s="99">
        <v>3.94</v>
      </c>
      <c r="AF61" s="78">
        <v>120940</v>
      </c>
      <c r="AG61" s="99">
        <v>16.36</v>
      </c>
      <c r="AH61" s="78">
        <v>502178</v>
      </c>
      <c r="AI61" s="173">
        <v>0</v>
      </c>
      <c r="AJ61" s="173">
        <v>0</v>
      </c>
      <c r="AK61" s="77">
        <v>0</v>
      </c>
      <c r="AL61" s="78">
        <v>0</v>
      </c>
      <c r="AM61" s="78">
        <f t="shared" si="22"/>
        <v>623118</v>
      </c>
      <c r="AN61" s="175">
        <v>0</v>
      </c>
      <c r="AO61" s="78">
        <v>0</v>
      </c>
      <c r="AP61" s="100">
        <v>0</v>
      </c>
      <c r="AQ61" s="100">
        <v>0</v>
      </c>
      <c r="AR61" s="77">
        <v>0</v>
      </c>
      <c r="AS61" s="78">
        <v>0</v>
      </c>
      <c r="AT61" s="78">
        <f t="shared" si="23"/>
        <v>0</v>
      </c>
      <c r="AU61" s="100">
        <f t="shared" si="24"/>
        <v>20.3</v>
      </c>
      <c r="AV61" s="78">
        <f t="shared" si="24"/>
        <v>623118</v>
      </c>
      <c r="AW61" s="78">
        <f t="shared" si="25"/>
        <v>0</v>
      </c>
      <c r="AX61" s="78">
        <f t="shared" si="26"/>
        <v>623118</v>
      </c>
      <c r="AY61" s="101">
        <f t="shared" si="27"/>
        <v>0</v>
      </c>
      <c r="AZ61" s="101">
        <f t="shared" si="28"/>
        <v>20.139</v>
      </c>
      <c r="BA61" s="101">
        <f t="shared" si="29"/>
        <v>20.139</v>
      </c>
      <c r="BB61" s="82">
        <v>0.01</v>
      </c>
      <c r="BC61" s="78">
        <v>414755</v>
      </c>
      <c r="BD61" s="78">
        <v>0</v>
      </c>
      <c r="BE61" s="78">
        <f t="shared" si="30"/>
        <v>414755</v>
      </c>
      <c r="BF61" s="78">
        <f t="shared" si="31"/>
        <v>41475500</v>
      </c>
      <c r="BG61" s="82">
        <f t="shared" si="32"/>
        <v>0.01</v>
      </c>
      <c r="BH61" s="82">
        <f t="shared" si="33"/>
        <v>0</v>
      </c>
      <c r="BI61" s="78">
        <f t="shared" si="34"/>
        <v>1104651</v>
      </c>
    </row>
    <row r="62" spans="2:61" ht="12.75">
      <c r="B62" s="115">
        <v>55</v>
      </c>
      <c r="C62" s="116" t="s">
        <v>61</v>
      </c>
      <c r="D62" s="116">
        <f>'Table 4 Formula'!U62</f>
        <v>27577.84</v>
      </c>
      <c r="E62" s="117">
        <f t="shared" si="35"/>
        <v>12710328</v>
      </c>
      <c r="F62" s="117">
        <f t="shared" si="9"/>
        <v>460.89</v>
      </c>
      <c r="G62" s="117">
        <f t="shared" si="36"/>
        <v>24771441</v>
      </c>
      <c r="H62" s="117">
        <f t="shared" si="10"/>
        <v>898.24</v>
      </c>
      <c r="I62" s="117">
        <v>634484</v>
      </c>
      <c r="J62" s="117">
        <f t="shared" si="11"/>
        <v>23.01</v>
      </c>
      <c r="K62" s="117">
        <f t="shared" si="12"/>
        <v>38116253</v>
      </c>
      <c r="L62" s="117">
        <f t="shared" si="13"/>
        <v>1382.13</v>
      </c>
      <c r="M62" s="128">
        <f t="shared" si="37"/>
        <v>0.87568585</v>
      </c>
      <c r="N62" s="116">
        <f t="shared" si="38"/>
        <v>26</v>
      </c>
      <c r="O62" s="125">
        <f t="shared" si="39"/>
        <v>17.858</v>
      </c>
      <c r="P62" s="117">
        <f t="shared" si="40"/>
        <v>5585262</v>
      </c>
      <c r="Q62" s="117">
        <f t="shared" si="14"/>
        <v>202.53</v>
      </c>
      <c r="R62" s="122">
        <f t="shared" si="41"/>
        <v>0.0208</v>
      </c>
      <c r="S62" s="117">
        <f t="shared" si="42"/>
        <v>29783004</v>
      </c>
      <c r="T62" s="117">
        <f t="shared" si="15"/>
        <v>1079.9614473069682</v>
      </c>
      <c r="U62" s="117">
        <f t="shared" si="16"/>
        <v>634484</v>
      </c>
      <c r="V62" s="116">
        <f t="shared" si="17"/>
        <v>23.01</v>
      </c>
      <c r="W62" s="117">
        <f t="shared" si="18"/>
        <v>36002750</v>
      </c>
      <c r="X62" s="117">
        <f t="shared" si="19"/>
        <v>1305.5</v>
      </c>
      <c r="Y62" s="120">
        <f t="shared" si="20"/>
        <v>0.944557</v>
      </c>
      <c r="Z62" s="116">
        <f t="shared" si="43"/>
        <v>39</v>
      </c>
      <c r="AA62" s="116"/>
      <c r="AB62" s="117">
        <v>418977712</v>
      </c>
      <c r="AC62" s="117">
        <v>106223585</v>
      </c>
      <c r="AD62" s="117">
        <f t="shared" si="21"/>
        <v>312754127</v>
      </c>
      <c r="AE62" s="125">
        <v>3.86</v>
      </c>
      <c r="AF62" s="117">
        <v>1150429</v>
      </c>
      <c r="AG62" s="125">
        <v>5.41</v>
      </c>
      <c r="AH62" s="117">
        <v>1612389</v>
      </c>
      <c r="AI62" s="174">
        <v>0</v>
      </c>
      <c r="AJ62" s="174">
        <v>0</v>
      </c>
      <c r="AK62" s="116">
        <v>0</v>
      </c>
      <c r="AL62" s="117">
        <v>0</v>
      </c>
      <c r="AM62" s="117">
        <f t="shared" si="22"/>
        <v>2762818</v>
      </c>
      <c r="AN62" s="174">
        <v>9.47</v>
      </c>
      <c r="AO62" s="117">
        <v>2822444</v>
      </c>
      <c r="AP62" s="126">
        <v>0</v>
      </c>
      <c r="AQ62" s="126">
        <v>0</v>
      </c>
      <c r="AR62" s="116">
        <v>0</v>
      </c>
      <c r="AS62" s="117">
        <v>0</v>
      </c>
      <c r="AT62" s="117">
        <f t="shared" si="23"/>
        <v>2822444</v>
      </c>
      <c r="AU62" s="126">
        <f t="shared" si="24"/>
        <v>18.740000000000002</v>
      </c>
      <c r="AV62" s="117">
        <f t="shared" si="24"/>
        <v>5585262</v>
      </c>
      <c r="AW62" s="117">
        <f t="shared" si="25"/>
        <v>0</v>
      </c>
      <c r="AX62" s="117">
        <f t="shared" si="26"/>
        <v>5585262</v>
      </c>
      <c r="AY62" s="127">
        <f t="shared" si="27"/>
        <v>9.024</v>
      </c>
      <c r="AZ62" s="127">
        <f t="shared" si="28"/>
        <v>8.834</v>
      </c>
      <c r="BA62" s="127">
        <f t="shared" si="29"/>
        <v>17.858</v>
      </c>
      <c r="BB62" s="122">
        <v>0.0208</v>
      </c>
      <c r="BC62" s="117">
        <v>29783004</v>
      </c>
      <c r="BD62" s="117">
        <v>0</v>
      </c>
      <c r="BE62" s="117">
        <f t="shared" si="30"/>
        <v>29783004</v>
      </c>
      <c r="BF62" s="117">
        <f t="shared" si="31"/>
        <v>1431875192</v>
      </c>
      <c r="BG62" s="122">
        <f t="shared" si="32"/>
        <v>0.0208</v>
      </c>
      <c r="BH62" s="122">
        <f t="shared" si="33"/>
        <v>0</v>
      </c>
      <c r="BI62" s="117">
        <f t="shared" si="34"/>
        <v>36002750</v>
      </c>
    </row>
    <row r="63" spans="2:61" ht="12.75">
      <c r="B63" s="76">
        <v>56</v>
      </c>
      <c r="C63" s="77" t="s">
        <v>62</v>
      </c>
      <c r="D63" s="77">
        <f>'Table 4 Formula'!U63</f>
        <v>5079.96</v>
      </c>
      <c r="E63" s="78">
        <f t="shared" si="35"/>
        <v>2362764</v>
      </c>
      <c r="F63" s="78">
        <f t="shared" si="9"/>
        <v>465.11</v>
      </c>
      <c r="G63" s="78">
        <f t="shared" si="36"/>
        <v>2887695</v>
      </c>
      <c r="H63" s="78">
        <f t="shared" si="10"/>
        <v>568.45</v>
      </c>
      <c r="I63" s="78">
        <v>145248</v>
      </c>
      <c r="J63" s="78">
        <f t="shared" si="11"/>
        <v>28.59</v>
      </c>
      <c r="K63" s="78">
        <f t="shared" si="12"/>
        <v>5395707</v>
      </c>
      <c r="L63" s="78">
        <f t="shared" si="13"/>
        <v>1062.16</v>
      </c>
      <c r="M63" s="102">
        <f t="shared" si="37"/>
        <v>0.6729602</v>
      </c>
      <c r="N63" s="77">
        <f t="shared" si="38"/>
        <v>39</v>
      </c>
      <c r="O63" s="99">
        <f t="shared" si="39"/>
        <v>16.001</v>
      </c>
      <c r="P63" s="78">
        <f t="shared" si="40"/>
        <v>930265</v>
      </c>
      <c r="Q63" s="78">
        <f t="shared" si="14"/>
        <v>183.12</v>
      </c>
      <c r="R63" s="82">
        <f t="shared" si="41"/>
        <v>0.01</v>
      </c>
      <c r="S63" s="78">
        <f t="shared" si="42"/>
        <v>1669188</v>
      </c>
      <c r="T63" s="78">
        <f t="shared" si="15"/>
        <v>328.5829022275766</v>
      </c>
      <c r="U63" s="78">
        <f t="shared" si="16"/>
        <v>145248</v>
      </c>
      <c r="V63" s="77">
        <f t="shared" si="17"/>
        <v>28.59</v>
      </c>
      <c r="W63" s="78">
        <f t="shared" si="18"/>
        <v>2744701</v>
      </c>
      <c r="X63" s="78">
        <f t="shared" si="19"/>
        <v>540.3</v>
      </c>
      <c r="Y63" s="80">
        <f t="shared" si="20"/>
        <v>0.50868</v>
      </c>
      <c r="Z63" s="77">
        <f t="shared" si="43"/>
        <v>66</v>
      </c>
      <c r="AA63" s="77"/>
      <c r="AB63" s="78">
        <v>81110970</v>
      </c>
      <c r="AC63" s="78">
        <v>22972100</v>
      </c>
      <c r="AD63" s="78">
        <f t="shared" si="21"/>
        <v>58138870</v>
      </c>
      <c r="AE63" s="99">
        <v>3.42</v>
      </c>
      <c r="AF63" s="78">
        <v>194673</v>
      </c>
      <c r="AG63" s="99">
        <v>2.82</v>
      </c>
      <c r="AH63" s="78">
        <v>160523</v>
      </c>
      <c r="AI63" s="173">
        <v>1.55</v>
      </c>
      <c r="AJ63" s="173">
        <v>1.72</v>
      </c>
      <c r="AK63" s="77">
        <v>9</v>
      </c>
      <c r="AL63" s="78">
        <v>92783</v>
      </c>
      <c r="AM63" s="78">
        <f t="shared" si="22"/>
        <v>447979</v>
      </c>
      <c r="AN63" s="173">
        <v>8.25</v>
      </c>
      <c r="AO63" s="78">
        <v>482286</v>
      </c>
      <c r="AP63" s="100">
        <v>0</v>
      </c>
      <c r="AQ63" s="100">
        <v>0</v>
      </c>
      <c r="AR63" s="77">
        <v>0</v>
      </c>
      <c r="AS63" s="78">
        <v>0</v>
      </c>
      <c r="AT63" s="78">
        <f t="shared" si="23"/>
        <v>482286</v>
      </c>
      <c r="AU63" s="100">
        <f t="shared" si="24"/>
        <v>14.49</v>
      </c>
      <c r="AV63" s="78">
        <f t="shared" si="24"/>
        <v>837482</v>
      </c>
      <c r="AW63" s="78">
        <f t="shared" si="25"/>
        <v>92783</v>
      </c>
      <c r="AX63" s="78">
        <f t="shared" si="26"/>
        <v>930265</v>
      </c>
      <c r="AY63" s="101">
        <f t="shared" si="27"/>
        <v>8.295</v>
      </c>
      <c r="AZ63" s="101">
        <f t="shared" si="28"/>
        <v>7.705</v>
      </c>
      <c r="BA63" s="101">
        <f t="shared" si="29"/>
        <v>16.001</v>
      </c>
      <c r="BB63" s="82">
        <v>0.01</v>
      </c>
      <c r="BC63" s="78">
        <v>1669188</v>
      </c>
      <c r="BD63" s="78">
        <v>0</v>
      </c>
      <c r="BE63" s="78">
        <f t="shared" si="30"/>
        <v>1669188</v>
      </c>
      <c r="BF63" s="78">
        <f t="shared" si="31"/>
        <v>166918800</v>
      </c>
      <c r="BG63" s="82">
        <f t="shared" si="32"/>
        <v>0.01</v>
      </c>
      <c r="BH63" s="82">
        <f t="shared" si="33"/>
        <v>0</v>
      </c>
      <c r="BI63" s="78">
        <f t="shared" si="34"/>
        <v>2744701</v>
      </c>
    </row>
    <row r="64" spans="2:61" ht="12.75">
      <c r="B64" s="76">
        <v>57</v>
      </c>
      <c r="C64" s="77" t="s">
        <v>63</v>
      </c>
      <c r="D64" s="77">
        <f>'Table 4 Formula'!U64</f>
        <v>12387.52</v>
      </c>
      <c r="E64" s="78">
        <f t="shared" si="35"/>
        <v>7166472</v>
      </c>
      <c r="F64" s="78">
        <f t="shared" si="9"/>
        <v>578.52</v>
      </c>
      <c r="G64" s="78">
        <f t="shared" si="36"/>
        <v>8710202</v>
      </c>
      <c r="H64" s="78">
        <f t="shared" si="10"/>
        <v>703.14</v>
      </c>
      <c r="I64" s="78">
        <v>1549849</v>
      </c>
      <c r="J64" s="78">
        <f t="shared" si="11"/>
        <v>125.11</v>
      </c>
      <c r="K64" s="78">
        <f t="shared" si="12"/>
        <v>17426523</v>
      </c>
      <c r="L64" s="78">
        <f t="shared" si="13"/>
        <v>1406.78</v>
      </c>
      <c r="M64" s="102">
        <f t="shared" si="37"/>
        <v>0.89130352</v>
      </c>
      <c r="N64" s="77">
        <f t="shared" si="38"/>
        <v>24</v>
      </c>
      <c r="O64" s="99">
        <f t="shared" si="39"/>
        <v>39.758</v>
      </c>
      <c r="P64" s="78">
        <f t="shared" si="40"/>
        <v>7010981</v>
      </c>
      <c r="Q64" s="78">
        <f t="shared" si="14"/>
        <v>565.97</v>
      </c>
      <c r="R64" s="82">
        <f t="shared" si="41"/>
        <v>0.01</v>
      </c>
      <c r="S64" s="78">
        <f t="shared" si="42"/>
        <v>5034799</v>
      </c>
      <c r="T64" s="78">
        <f t="shared" si="15"/>
        <v>406.44124086177055</v>
      </c>
      <c r="U64" s="78">
        <f t="shared" si="16"/>
        <v>1549849</v>
      </c>
      <c r="V64" s="77">
        <f t="shared" si="17"/>
        <v>125.11</v>
      </c>
      <c r="W64" s="78">
        <f t="shared" si="18"/>
        <v>13595629</v>
      </c>
      <c r="X64" s="78">
        <f t="shared" si="19"/>
        <v>1097.53</v>
      </c>
      <c r="Y64" s="80">
        <f t="shared" si="20"/>
        <v>0.780172</v>
      </c>
      <c r="Z64" s="77">
        <f t="shared" si="43"/>
        <v>50</v>
      </c>
      <c r="AA64" s="77"/>
      <c r="AB64" s="78">
        <v>231722040</v>
      </c>
      <c r="AC64" s="78">
        <v>55381680</v>
      </c>
      <c r="AD64" s="78">
        <f t="shared" si="21"/>
        <v>176340360</v>
      </c>
      <c r="AE64" s="99">
        <v>4.4</v>
      </c>
      <c r="AF64" s="78">
        <v>758776</v>
      </c>
      <c r="AG64" s="99">
        <v>35</v>
      </c>
      <c r="AH64" s="78">
        <v>6016472</v>
      </c>
      <c r="AI64" s="173">
        <v>0</v>
      </c>
      <c r="AJ64" s="173">
        <v>0</v>
      </c>
      <c r="AK64" s="77">
        <v>0</v>
      </c>
      <c r="AL64" s="78">
        <v>0</v>
      </c>
      <c r="AM64" s="78">
        <f t="shared" si="22"/>
        <v>6775248</v>
      </c>
      <c r="AN64" s="173">
        <v>1.33</v>
      </c>
      <c r="AO64" s="78">
        <v>235733</v>
      </c>
      <c r="AP64" s="100">
        <v>0</v>
      </c>
      <c r="AQ64" s="100">
        <v>0</v>
      </c>
      <c r="AR64" s="77">
        <v>0</v>
      </c>
      <c r="AS64" s="78">
        <v>0</v>
      </c>
      <c r="AT64" s="78">
        <f t="shared" si="23"/>
        <v>235733</v>
      </c>
      <c r="AU64" s="100">
        <f t="shared" si="24"/>
        <v>40.73</v>
      </c>
      <c r="AV64" s="78">
        <f t="shared" si="24"/>
        <v>7010981</v>
      </c>
      <c r="AW64" s="78">
        <f t="shared" si="25"/>
        <v>0</v>
      </c>
      <c r="AX64" s="78">
        <f t="shared" si="26"/>
        <v>7010981</v>
      </c>
      <c r="AY64" s="101">
        <f t="shared" si="27"/>
        <v>1.337</v>
      </c>
      <c r="AZ64" s="101">
        <f t="shared" si="28"/>
        <v>38.421</v>
      </c>
      <c r="BA64" s="101">
        <f t="shared" si="29"/>
        <v>39.758</v>
      </c>
      <c r="BB64" s="82">
        <v>0.01</v>
      </c>
      <c r="BC64" s="78">
        <v>5034799</v>
      </c>
      <c r="BD64" s="78">
        <v>0</v>
      </c>
      <c r="BE64" s="78">
        <f t="shared" si="30"/>
        <v>5034799</v>
      </c>
      <c r="BF64" s="78">
        <f t="shared" si="31"/>
        <v>503479900</v>
      </c>
      <c r="BG64" s="82">
        <f t="shared" si="32"/>
        <v>0.01</v>
      </c>
      <c r="BH64" s="82">
        <f t="shared" si="33"/>
        <v>0</v>
      </c>
      <c r="BI64" s="78">
        <f t="shared" si="34"/>
        <v>13595629</v>
      </c>
    </row>
    <row r="65" spans="2:61" ht="12.75">
      <c r="B65" s="76">
        <v>58</v>
      </c>
      <c r="C65" s="77" t="s">
        <v>64</v>
      </c>
      <c r="D65" s="77">
        <f>'Table 4 Formula'!U65</f>
        <v>13168.67</v>
      </c>
      <c r="E65" s="78">
        <f t="shared" si="35"/>
        <v>3088764</v>
      </c>
      <c r="F65" s="78">
        <f t="shared" si="9"/>
        <v>234.55</v>
      </c>
      <c r="G65" s="78">
        <f t="shared" si="36"/>
        <v>5995453</v>
      </c>
      <c r="H65" s="78">
        <f t="shared" si="10"/>
        <v>455.28</v>
      </c>
      <c r="I65" s="78">
        <v>496147</v>
      </c>
      <c r="J65" s="78">
        <f t="shared" si="11"/>
        <v>37.68</v>
      </c>
      <c r="K65" s="78">
        <f t="shared" si="12"/>
        <v>9580364</v>
      </c>
      <c r="L65" s="78">
        <f t="shared" si="13"/>
        <v>727.51</v>
      </c>
      <c r="M65" s="102">
        <f t="shared" si="37"/>
        <v>0.46093364</v>
      </c>
      <c r="N65" s="77">
        <f t="shared" si="38"/>
        <v>62</v>
      </c>
      <c r="O65" s="99">
        <f t="shared" si="39"/>
        <v>42.831</v>
      </c>
      <c r="P65" s="78">
        <f t="shared" si="40"/>
        <v>3255272</v>
      </c>
      <c r="Q65" s="78">
        <f t="shared" si="14"/>
        <v>247.2</v>
      </c>
      <c r="R65" s="82">
        <f t="shared" si="41"/>
        <v>0.02</v>
      </c>
      <c r="S65" s="78">
        <f t="shared" si="42"/>
        <v>6931159</v>
      </c>
      <c r="T65" s="78">
        <f t="shared" si="15"/>
        <v>526.3370560580529</v>
      </c>
      <c r="U65" s="78">
        <f t="shared" si="16"/>
        <v>496147</v>
      </c>
      <c r="V65" s="77">
        <f t="shared" si="17"/>
        <v>37.68</v>
      </c>
      <c r="W65" s="78">
        <f t="shared" si="18"/>
        <v>10682578</v>
      </c>
      <c r="X65" s="78">
        <f t="shared" si="19"/>
        <v>811.21</v>
      </c>
      <c r="Y65" s="80">
        <f t="shared" si="20"/>
        <v>1.11505</v>
      </c>
      <c r="Z65" s="77">
        <f t="shared" si="43"/>
        <v>14</v>
      </c>
      <c r="AA65" s="77"/>
      <c r="AB65" s="78">
        <v>106938810</v>
      </c>
      <c r="AC65" s="78">
        <v>30935770</v>
      </c>
      <c r="AD65" s="78">
        <f t="shared" si="21"/>
        <v>76003040</v>
      </c>
      <c r="AE65" s="99">
        <v>3.7</v>
      </c>
      <c r="AF65" s="78">
        <v>276846</v>
      </c>
      <c r="AG65" s="99">
        <v>7.17</v>
      </c>
      <c r="AH65" s="78">
        <v>536482</v>
      </c>
      <c r="AI65" s="173">
        <v>12.59</v>
      </c>
      <c r="AJ65" s="173">
        <v>13.98</v>
      </c>
      <c r="AK65" s="77">
        <v>9</v>
      </c>
      <c r="AL65" s="78">
        <v>985049</v>
      </c>
      <c r="AM65" s="78">
        <f t="shared" si="22"/>
        <v>1798377</v>
      </c>
      <c r="AN65" s="175">
        <v>0</v>
      </c>
      <c r="AO65" s="78">
        <v>0</v>
      </c>
      <c r="AP65" s="173">
        <v>3.5</v>
      </c>
      <c r="AQ65" s="173">
        <v>70</v>
      </c>
      <c r="AR65" s="77">
        <v>9</v>
      </c>
      <c r="AS65" s="78">
        <v>1456895</v>
      </c>
      <c r="AT65" s="78">
        <f t="shared" si="23"/>
        <v>1456895</v>
      </c>
      <c r="AU65" s="100">
        <f t="shared" si="24"/>
        <v>10.870000000000001</v>
      </c>
      <c r="AV65" s="78">
        <f t="shared" si="24"/>
        <v>813328</v>
      </c>
      <c r="AW65" s="78">
        <f t="shared" si="25"/>
        <v>2441944</v>
      </c>
      <c r="AX65" s="78">
        <f t="shared" si="26"/>
        <v>3255272</v>
      </c>
      <c r="AY65" s="101">
        <f t="shared" si="27"/>
        <v>19.169</v>
      </c>
      <c r="AZ65" s="101">
        <f t="shared" si="28"/>
        <v>23.662</v>
      </c>
      <c r="BA65" s="101">
        <f t="shared" si="29"/>
        <v>42.831</v>
      </c>
      <c r="BB65" s="82">
        <v>0.02</v>
      </c>
      <c r="BC65" s="78">
        <v>6931159</v>
      </c>
      <c r="BD65" s="78">
        <v>0</v>
      </c>
      <c r="BE65" s="78">
        <f t="shared" si="30"/>
        <v>6931159</v>
      </c>
      <c r="BF65" s="78">
        <f t="shared" si="31"/>
        <v>346557950</v>
      </c>
      <c r="BG65" s="82">
        <f t="shared" si="32"/>
        <v>0.02</v>
      </c>
      <c r="BH65" s="82">
        <f t="shared" si="33"/>
        <v>0</v>
      </c>
      <c r="BI65" s="78">
        <f t="shared" si="34"/>
        <v>10682578</v>
      </c>
    </row>
    <row r="66" spans="2:61" ht="12.75">
      <c r="B66" s="76">
        <v>59</v>
      </c>
      <c r="C66" s="77" t="s">
        <v>65</v>
      </c>
      <c r="D66" s="77">
        <f>'Table 4 Formula'!U66</f>
        <v>6763.23</v>
      </c>
      <c r="E66" s="78">
        <f t="shared" si="35"/>
        <v>1711734</v>
      </c>
      <c r="F66" s="78">
        <f t="shared" si="9"/>
        <v>253.09</v>
      </c>
      <c r="G66" s="78">
        <f t="shared" si="36"/>
        <v>2705111</v>
      </c>
      <c r="H66" s="78">
        <f t="shared" si="10"/>
        <v>399.97</v>
      </c>
      <c r="I66" s="78">
        <v>147404</v>
      </c>
      <c r="J66" s="78">
        <f t="shared" si="11"/>
        <v>21.79</v>
      </c>
      <c r="K66" s="78">
        <f t="shared" si="12"/>
        <v>4564249</v>
      </c>
      <c r="L66" s="78">
        <f t="shared" si="13"/>
        <v>674.86</v>
      </c>
      <c r="M66" s="102">
        <f t="shared" si="37"/>
        <v>0.42757581</v>
      </c>
      <c r="N66" s="77">
        <f t="shared" si="38"/>
        <v>64</v>
      </c>
      <c r="O66" s="99">
        <f t="shared" si="39"/>
        <v>38.933</v>
      </c>
      <c r="P66" s="78">
        <f t="shared" si="40"/>
        <v>1639816</v>
      </c>
      <c r="Q66" s="78">
        <f t="shared" si="14"/>
        <v>242.46</v>
      </c>
      <c r="R66" s="82">
        <f t="shared" si="41"/>
        <v>0.02</v>
      </c>
      <c r="S66" s="78">
        <f t="shared" si="42"/>
        <v>3127296</v>
      </c>
      <c r="T66" s="78">
        <f t="shared" si="15"/>
        <v>462.39681335693155</v>
      </c>
      <c r="U66" s="78">
        <f t="shared" si="16"/>
        <v>147404</v>
      </c>
      <c r="V66" s="77">
        <f t="shared" si="17"/>
        <v>21.79</v>
      </c>
      <c r="W66" s="78">
        <f t="shared" si="18"/>
        <v>4914516</v>
      </c>
      <c r="X66" s="78">
        <f t="shared" si="19"/>
        <v>726.65</v>
      </c>
      <c r="Y66" s="80">
        <f t="shared" si="20"/>
        <v>1.076742</v>
      </c>
      <c r="Z66" s="77">
        <f t="shared" si="43"/>
        <v>20</v>
      </c>
      <c r="AA66" s="77"/>
      <c r="AB66" s="78">
        <v>64679090</v>
      </c>
      <c r="AC66" s="78">
        <v>22559650</v>
      </c>
      <c r="AD66" s="78">
        <f t="shared" si="21"/>
        <v>42119440</v>
      </c>
      <c r="AE66" s="99">
        <v>3.91</v>
      </c>
      <c r="AF66" s="78">
        <v>153925</v>
      </c>
      <c r="AG66" s="99">
        <v>15.07</v>
      </c>
      <c r="AH66" s="78">
        <v>593267</v>
      </c>
      <c r="AI66" s="173">
        <v>5.12</v>
      </c>
      <c r="AJ66" s="173">
        <v>5.12</v>
      </c>
      <c r="AK66" s="77">
        <v>1</v>
      </c>
      <c r="AL66" s="78">
        <v>9751</v>
      </c>
      <c r="AM66" s="78">
        <f t="shared" si="22"/>
        <v>756943</v>
      </c>
      <c r="AN66" s="175">
        <v>0</v>
      </c>
      <c r="AO66" s="78">
        <v>0</v>
      </c>
      <c r="AP66" s="173">
        <v>23</v>
      </c>
      <c r="AQ66" s="173">
        <v>49</v>
      </c>
      <c r="AR66" s="77">
        <v>2</v>
      </c>
      <c r="AS66" s="78">
        <v>882873</v>
      </c>
      <c r="AT66" s="78">
        <f t="shared" si="23"/>
        <v>882873</v>
      </c>
      <c r="AU66" s="100">
        <f t="shared" si="24"/>
        <v>18.98</v>
      </c>
      <c r="AV66" s="78">
        <f t="shared" si="24"/>
        <v>747192</v>
      </c>
      <c r="AW66" s="78">
        <f t="shared" si="25"/>
        <v>892624</v>
      </c>
      <c r="AX66" s="78">
        <f t="shared" si="26"/>
        <v>1639816</v>
      </c>
      <c r="AY66" s="101">
        <f t="shared" si="27"/>
        <v>20.961</v>
      </c>
      <c r="AZ66" s="101">
        <f t="shared" si="28"/>
        <v>17.971</v>
      </c>
      <c r="BA66" s="101">
        <f t="shared" si="29"/>
        <v>38.933</v>
      </c>
      <c r="BB66" s="82">
        <v>0.02</v>
      </c>
      <c r="BC66" s="78">
        <v>3127296</v>
      </c>
      <c r="BD66" s="78">
        <v>0</v>
      </c>
      <c r="BE66" s="78">
        <f t="shared" si="30"/>
        <v>3127296</v>
      </c>
      <c r="BF66" s="78">
        <f t="shared" si="31"/>
        <v>156364800</v>
      </c>
      <c r="BG66" s="82">
        <f t="shared" si="32"/>
        <v>0.02</v>
      </c>
      <c r="BH66" s="82">
        <f t="shared" si="33"/>
        <v>0</v>
      </c>
      <c r="BI66" s="78">
        <f t="shared" si="34"/>
        <v>4914516</v>
      </c>
    </row>
    <row r="67" spans="2:61" ht="12.75">
      <c r="B67" s="115">
        <v>60</v>
      </c>
      <c r="C67" s="116" t="s">
        <v>66</v>
      </c>
      <c r="D67" s="116">
        <f>'Table 4 Formula'!U67</f>
        <v>10056.65</v>
      </c>
      <c r="E67" s="117">
        <f t="shared" si="35"/>
        <v>4454546</v>
      </c>
      <c r="F67" s="117">
        <f t="shared" si="9"/>
        <v>442.95</v>
      </c>
      <c r="G67" s="117">
        <f t="shared" si="36"/>
        <v>7388461</v>
      </c>
      <c r="H67" s="117">
        <f t="shared" si="10"/>
        <v>734.68</v>
      </c>
      <c r="I67" s="117">
        <v>438774</v>
      </c>
      <c r="J67" s="117">
        <f t="shared" si="11"/>
        <v>43.63</v>
      </c>
      <c r="K67" s="117">
        <f t="shared" si="12"/>
        <v>12281781</v>
      </c>
      <c r="L67" s="117">
        <f t="shared" si="13"/>
        <v>1221.26</v>
      </c>
      <c r="M67" s="128">
        <f t="shared" si="37"/>
        <v>0.77376231</v>
      </c>
      <c r="N67" s="116">
        <f t="shared" si="38"/>
        <v>31</v>
      </c>
      <c r="O67" s="125">
        <f t="shared" si="39"/>
        <v>42.302</v>
      </c>
      <c r="P67" s="117">
        <f t="shared" si="40"/>
        <v>4636699</v>
      </c>
      <c r="Q67" s="117">
        <f t="shared" si="14"/>
        <v>461.06</v>
      </c>
      <c r="R67" s="122">
        <f t="shared" si="41"/>
        <v>0.02</v>
      </c>
      <c r="S67" s="117">
        <f t="shared" si="42"/>
        <v>8541573</v>
      </c>
      <c r="T67" s="117">
        <f t="shared" si="15"/>
        <v>849.3457562906137</v>
      </c>
      <c r="U67" s="117">
        <f t="shared" si="16"/>
        <v>438774</v>
      </c>
      <c r="V67" s="116">
        <f t="shared" si="17"/>
        <v>43.63</v>
      </c>
      <c r="W67" s="117">
        <f t="shared" si="18"/>
        <v>13617046</v>
      </c>
      <c r="X67" s="117">
        <f t="shared" si="19"/>
        <v>1354.03</v>
      </c>
      <c r="Y67" s="120">
        <f t="shared" si="20"/>
        <v>1.108716</v>
      </c>
      <c r="Z67" s="116">
        <f t="shared" si="43"/>
        <v>16</v>
      </c>
      <c r="AA67" s="116"/>
      <c r="AB67" s="117">
        <v>148762070</v>
      </c>
      <c r="AC67" s="117">
        <v>39152180</v>
      </c>
      <c r="AD67" s="117">
        <f t="shared" si="21"/>
        <v>109609890</v>
      </c>
      <c r="AE67" s="125">
        <v>5.63</v>
      </c>
      <c r="AF67" s="117">
        <v>611033</v>
      </c>
      <c r="AG67" s="125">
        <v>13.66</v>
      </c>
      <c r="AH67" s="117">
        <v>1891979</v>
      </c>
      <c r="AI67" s="174">
        <v>0</v>
      </c>
      <c r="AJ67" s="174">
        <v>0</v>
      </c>
      <c r="AK67" s="116">
        <v>0</v>
      </c>
      <c r="AL67" s="117">
        <v>0</v>
      </c>
      <c r="AM67" s="117">
        <f t="shared" si="22"/>
        <v>2503012</v>
      </c>
      <c r="AN67" s="176">
        <v>0</v>
      </c>
      <c r="AO67" s="117">
        <v>0</v>
      </c>
      <c r="AP67" s="174">
        <v>11.7</v>
      </c>
      <c r="AQ67" s="174">
        <v>94.8</v>
      </c>
      <c r="AR67" s="116">
        <v>7</v>
      </c>
      <c r="AS67" s="117">
        <v>2133687</v>
      </c>
      <c r="AT67" s="117">
        <f t="shared" si="23"/>
        <v>2133687</v>
      </c>
      <c r="AU67" s="126">
        <f t="shared" si="24"/>
        <v>19.29</v>
      </c>
      <c r="AV67" s="117">
        <f t="shared" si="24"/>
        <v>2503012</v>
      </c>
      <c r="AW67" s="117">
        <f t="shared" si="25"/>
        <v>2133687</v>
      </c>
      <c r="AX67" s="117">
        <f t="shared" si="26"/>
        <v>4636699</v>
      </c>
      <c r="AY67" s="127">
        <f t="shared" si="27"/>
        <v>19.466</v>
      </c>
      <c r="AZ67" s="127">
        <f t="shared" si="28"/>
        <v>22.836</v>
      </c>
      <c r="BA67" s="127">
        <f t="shared" si="29"/>
        <v>42.302</v>
      </c>
      <c r="BB67" s="122">
        <v>0.02</v>
      </c>
      <c r="BC67" s="117">
        <v>8541573</v>
      </c>
      <c r="BD67" s="117">
        <v>0</v>
      </c>
      <c r="BE67" s="117">
        <f t="shared" si="30"/>
        <v>8541573</v>
      </c>
      <c r="BF67" s="117">
        <f t="shared" si="31"/>
        <v>427078650</v>
      </c>
      <c r="BG67" s="122">
        <f t="shared" si="32"/>
        <v>0.02</v>
      </c>
      <c r="BH67" s="122">
        <f t="shared" si="33"/>
        <v>0</v>
      </c>
      <c r="BI67" s="117">
        <f t="shared" si="34"/>
        <v>13617046</v>
      </c>
    </row>
    <row r="68" spans="2:61" ht="12.75">
      <c r="B68" s="76">
        <v>61</v>
      </c>
      <c r="C68" s="77" t="s">
        <v>67</v>
      </c>
      <c r="D68" s="77">
        <f>'Table 4 Formula'!U68</f>
        <v>5358.01</v>
      </c>
      <c r="E68" s="78">
        <f t="shared" si="35"/>
        <v>6211844</v>
      </c>
      <c r="F68" s="78">
        <f t="shared" si="9"/>
        <v>1159.36</v>
      </c>
      <c r="G68" s="78">
        <f t="shared" si="36"/>
        <v>6023047</v>
      </c>
      <c r="H68" s="78">
        <f t="shared" si="10"/>
        <v>1124.12</v>
      </c>
      <c r="I68" s="78">
        <v>208572</v>
      </c>
      <c r="J68" s="78">
        <f t="shared" si="11"/>
        <v>38.93</v>
      </c>
      <c r="K68" s="78">
        <f t="shared" si="12"/>
        <v>12443463</v>
      </c>
      <c r="L68" s="78">
        <f t="shared" si="13"/>
        <v>2322.4</v>
      </c>
      <c r="M68" s="102">
        <f t="shared" si="37"/>
        <v>1.47141934</v>
      </c>
      <c r="N68" s="77">
        <f t="shared" si="38"/>
        <v>7</v>
      </c>
      <c r="O68" s="99">
        <f t="shared" si="39"/>
        <v>34.268</v>
      </c>
      <c r="P68" s="78">
        <f t="shared" si="40"/>
        <v>5237850</v>
      </c>
      <c r="Q68" s="78">
        <f t="shared" si="14"/>
        <v>977.57</v>
      </c>
      <c r="R68" s="82">
        <f t="shared" si="41"/>
        <v>0.01</v>
      </c>
      <c r="S68" s="78">
        <f t="shared" si="42"/>
        <v>3481530</v>
      </c>
      <c r="T68" s="78">
        <f t="shared" si="15"/>
        <v>649.7804222089917</v>
      </c>
      <c r="U68" s="78">
        <f t="shared" si="16"/>
        <v>208572</v>
      </c>
      <c r="V68" s="77">
        <f t="shared" si="17"/>
        <v>38.93</v>
      </c>
      <c r="W68" s="78">
        <f t="shared" si="18"/>
        <v>8927952</v>
      </c>
      <c r="X68" s="78">
        <f t="shared" si="19"/>
        <v>1666.28</v>
      </c>
      <c r="Y68" s="80">
        <f t="shared" si="20"/>
        <v>0.717482</v>
      </c>
      <c r="Z68" s="77">
        <f t="shared" si="43"/>
        <v>55</v>
      </c>
      <c r="AA68" s="77"/>
      <c r="AB68" s="78">
        <v>179341830</v>
      </c>
      <c r="AC68" s="78">
        <v>26491330</v>
      </c>
      <c r="AD68" s="78">
        <f t="shared" si="21"/>
        <v>152850500</v>
      </c>
      <c r="AE68" s="99">
        <v>4.39</v>
      </c>
      <c r="AF68" s="78">
        <v>668630</v>
      </c>
      <c r="AG68" s="99">
        <v>15</v>
      </c>
      <c r="AH68" s="78">
        <v>2284610</v>
      </c>
      <c r="AI68" s="173">
        <v>0</v>
      </c>
      <c r="AJ68" s="173">
        <v>0</v>
      </c>
      <c r="AK68" s="77">
        <v>0</v>
      </c>
      <c r="AL68" s="78">
        <v>0</v>
      </c>
      <c r="AM68" s="78">
        <f t="shared" si="22"/>
        <v>2953240</v>
      </c>
      <c r="AN68" s="173">
        <v>15</v>
      </c>
      <c r="AO68" s="78">
        <v>2284610</v>
      </c>
      <c r="AP68" s="100">
        <v>0</v>
      </c>
      <c r="AQ68" s="100">
        <v>0</v>
      </c>
      <c r="AR68" s="77">
        <v>0</v>
      </c>
      <c r="AS68" s="78">
        <v>0</v>
      </c>
      <c r="AT68" s="78">
        <f t="shared" si="23"/>
        <v>2284610</v>
      </c>
      <c r="AU68" s="100">
        <f t="shared" si="24"/>
        <v>34.39</v>
      </c>
      <c r="AV68" s="78">
        <f t="shared" si="24"/>
        <v>5237850</v>
      </c>
      <c r="AW68" s="78">
        <f t="shared" si="25"/>
        <v>0</v>
      </c>
      <c r="AX68" s="78">
        <f t="shared" si="26"/>
        <v>5237850</v>
      </c>
      <c r="AY68" s="101">
        <f t="shared" si="27"/>
        <v>14.947</v>
      </c>
      <c r="AZ68" s="101">
        <f t="shared" si="28"/>
        <v>19.321</v>
      </c>
      <c r="BA68" s="101">
        <f t="shared" si="29"/>
        <v>34.268</v>
      </c>
      <c r="BB68" s="82">
        <v>0.01</v>
      </c>
      <c r="BC68" s="78">
        <v>3481530</v>
      </c>
      <c r="BD68" s="78">
        <v>0</v>
      </c>
      <c r="BE68" s="78">
        <f t="shared" si="30"/>
        <v>3481530</v>
      </c>
      <c r="BF68" s="78">
        <f t="shared" si="31"/>
        <v>348153000</v>
      </c>
      <c r="BG68" s="82">
        <f t="shared" si="32"/>
        <v>0.01</v>
      </c>
      <c r="BH68" s="82">
        <f t="shared" si="33"/>
        <v>0</v>
      </c>
      <c r="BI68" s="78">
        <f t="shared" si="34"/>
        <v>8927952</v>
      </c>
    </row>
    <row r="69" spans="2:61" ht="12.75">
      <c r="B69" s="76">
        <v>62</v>
      </c>
      <c r="C69" s="77" t="s">
        <v>68</v>
      </c>
      <c r="D69" s="77">
        <f>'Table 4 Formula'!U69</f>
        <v>3694.49</v>
      </c>
      <c r="E69" s="78">
        <f t="shared" si="35"/>
        <v>1289769</v>
      </c>
      <c r="F69" s="78">
        <f t="shared" si="9"/>
        <v>349.11</v>
      </c>
      <c r="G69" s="78">
        <f t="shared" si="36"/>
        <v>1506333</v>
      </c>
      <c r="H69" s="78">
        <f t="shared" si="10"/>
        <v>407.72</v>
      </c>
      <c r="I69" s="78">
        <v>117803</v>
      </c>
      <c r="J69" s="78">
        <f t="shared" si="11"/>
        <v>31.89</v>
      </c>
      <c r="K69" s="78">
        <f t="shared" si="12"/>
        <v>2913905</v>
      </c>
      <c r="L69" s="78">
        <f t="shared" si="13"/>
        <v>788.72</v>
      </c>
      <c r="M69" s="102">
        <f t="shared" si="37"/>
        <v>0.49971489</v>
      </c>
      <c r="N69" s="77">
        <f t="shared" si="38"/>
        <v>57</v>
      </c>
      <c r="O69" s="99">
        <f t="shared" si="39"/>
        <v>25.04</v>
      </c>
      <c r="P69" s="78">
        <f t="shared" si="40"/>
        <v>794668</v>
      </c>
      <c r="Q69" s="78">
        <f t="shared" si="14"/>
        <v>215.1</v>
      </c>
      <c r="R69" s="82">
        <f t="shared" si="41"/>
        <v>0.01</v>
      </c>
      <c r="S69" s="78">
        <f t="shared" si="42"/>
        <v>870713</v>
      </c>
      <c r="T69" s="78">
        <f t="shared" si="15"/>
        <v>235.67880817108724</v>
      </c>
      <c r="U69" s="78">
        <f t="shared" si="16"/>
        <v>117803</v>
      </c>
      <c r="V69" s="77">
        <f t="shared" si="17"/>
        <v>31.89</v>
      </c>
      <c r="W69" s="78">
        <f t="shared" si="18"/>
        <v>1783184</v>
      </c>
      <c r="X69" s="78">
        <f t="shared" si="19"/>
        <v>482.66</v>
      </c>
      <c r="Y69" s="80">
        <f t="shared" si="20"/>
        <v>0.611954</v>
      </c>
      <c r="Z69" s="77">
        <f t="shared" si="43"/>
        <v>62</v>
      </c>
      <c r="AA69" s="77"/>
      <c r="AB69" s="78">
        <v>44293027</v>
      </c>
      <c r="AC69" s="78">
        <v>12556595</v>
      </c>
      <c r="AD69" s="78">
        <f t="shared" si="21"/>
        <v>31736432</v>
      </c>
      <c r="AE69" s="99">
        <v>6.13</v>
      </c>
      <c r="AF69" s="78">
        <v>190558</v>
      </c>
      <c r="AG69" s="99">
        <v>17.34</v>
      </c>
      <c r="AH69" s="78">
        <v>541302</v>
      </c>
      <c r="AI69" s="173">
        <v>5</v>
      </c>
      <c r="AJ69" s="173">
        <v>5</v>
      </c>
      <c r="AK69" s="77">
        <v>1</v>
      </c>
      <c r="AL69" s="78">
        <v>62808</v>
      </c>
      <c r="AM69" s="78">
        <f t="shared" si="22"/>
        <v>794668</v>
      </c>
      <c r="AN69" s="175">
        <v>0</v>
      </c>
      <c r="AO69" s="78">
        <v>0</v>
      </c>
      <c r="AP69" s="100">
        <v>0</v>
      </c>
      <c r="AQ69" s="100">
        <v>0</v>
      </c>
      <c r="AR69" s="77">
        <v>0</v>
      </c>
      <c r="AS69" s="78">
        <v>0</v>
      </c>
      <c r="AT69" s="78">
        <f t="shared" si="23"/>
        <v>0</v>
      </c>
      <c r="AU69" s="100">
        <f t="shared" si="24"/>
        <v>23.47</v>
      </c>
      <c r="AV69" s="78">
        <f t="shared" si="24"/>
        <v>731860</v>
      </c>
      <c r="AW69" s="78">
        <f t="shared" si="25"/>
        <v>62808</v>
      </c>
      <c r="AX69" s="78">
        <f t="shared" si="26"/>
        <v>794668</v>
      </c>
      <c r="AY69" s="101">
        <f t="shared" si="27"/>
        <v>0</v>
      </c>
      <c r="AZ69" s="101">
        <f t="shared" si="28"/>
        <v>25.04</v>
      </c>
      <c r="BA69" s="101">
        <f t="shared" si="29"/>
        <v>25.04</v>
      </c>
      <c r="BB69" s="82">
        <v>0.01</v>
      </c>
      <c r="BC69" s="78">
        <v>870713</v>
      </c>
      <c r="BD69" s="78">
        <v>0</v>
      </c>
      <c r="BE69" s="78">
        <f t="shared" si="30"/>
        <v>870713</v>
      </c>
      <c r="BF69" s="78">
        <f t="shared" si="31"/>
        <v>87071300</v>
      </c>
      <c r="BG69" s="82">
        <f t="shared" si="32"/>
        <v>0.01</v>
      </c>
      <c r="BH69" s="82">
        <f t="shared" si="33"/>
        <v>0</v>
      </c>
      <c r="BI69" s="78">
        <f t="shared" si="34"/>
        <v>1783184</v>
      </c>
    </row>
    <row r="70" spans="2:61" ht="12.75">
      <c r="B70" s="76">
        <v>63</v>
      </c>
      <c r="C70" s="77" t="s">
        <v>69</v>
      </c>
      <c r="D70" s="77">
        <f>'Table 4 Formula'!U70</f>
        <v>3264.24</v>
      </c>
      <c r="E70" s="78">
        <f t="shared" si="35"/>
        <v>12287182</v>
      </c>
      <c r="F70" s="78">
        <f t="shared" si="9"/>
        <v>3764.18</v>
      </c>
      <c r="G70" s="78">
        <f t="shared" si="36"/>
        <v>2479024</v>
      </c>
      <c r="H70" s="78">
        <f t="shared" si="10"/>
        <v>759.45</v>
      </c>
      <c r="I70" s="78">
        <v>58979</v>
      </c>
      <c r="J70" s="78">
        <f t="shared" si="11"/>
        <v>18.07</v>
      </c>
      <c r="K70" s="78">
        <f t="shared" si="12"/>
        <v>14825185</v>
      </c>
      <c r="L70" s="78">
        <f t="shared" si="13"/>
        <v>4541.7</v>
      </c>
      <c r="M70" s="102">
        <f t="shared" si="37"/>
        <v>2.87751688</v>
      </c>
      <c r="N70" s="77">
        <f t="shared" si="38"/>
        <v>1</v>
      </c>
      <c r="O70" s="99">
        <f t="shared" si="39"/>
        <v>22.55</v>
      </c>
      <c r="P70" s="78">
        <f t="shared" si="40"/>
        <v>6817817</v>
      </c>
      <c r="Q70" s="78">
        <f t="shared" si="14"/>
        <v>2088.64</v>
      </c>
      <c r="R70" s="82">
        <f t="shared" si="41"/>
        <v>0.02</v>
      </c>
      <c r="S70" s="78">
        <f t="shared" si="42"/>
        <v>2865924</v>
      </c>
      <c r="T70" s="78">
        <f t="shared" si="15"/>
        <v>877.9758841261672</v>
      </c>
      <c r="U70" s="78">
        <f t="shared" si="16"/>
        <v>58979</v>
      </c>
      <c r="V70" s="77">
        <f t="shared" si="17"/>
        <v>18.07</v>
      </c>
      <c r="W70" s="78">
        <f t="shared" si="18"/>
        <v>9742720</v>
      </c>
      <c r="X70" s="78">
        <f t="shared" si="19"/>
        <v>2984.68</v>
      </c>
      <c r="Y70" s="80">
        <f t="shared" si="20"/>
        <v>0.657172</v>
      </c>
      <c r="Z70" s="77">
        <f t="shared" si="43"/>
        <v>60</v>
      </c>
      <c r="AA70" s="77"/>
      <c r="AB70" s="78">
        <v>312381369</v>
      </c>
      <c r="AC70" s="78">
        <v>10039288</v>
      </c>
      <c r="AD70" s="78">
        <f t="shared" si="21"/>
        <v>302342081</v>
      </c>
      <c r="AE70" s="99">
        <v>4.46</v>
      </c>
      <c r="AF70" s="78">
        <v>1296141</v>
      </c>
      <c r="AG70" s="99">
        <v>14.75</v>
      </c>
      <c r="AH70" s="78">
        <v>4286564</v>
      </c>
      <c r="AI70" s="173">
        <v>0</v>
      </c>
      <c r="AJ70" s="173">
        <v>0</v>
      </c>
      <c r="AK70" s="77">
        <v>0</v>
      </c>
      <c r="AL70" s="78">
        <v>0</v>
      </c>
      <c r="AM70" s="78">
        <f t="shared" si="22"/>
        <v>5582705</v>
      </c>
      <c r="AN70" s="173">
        <v>4.25</v>
      </c>
      <c r="AO70" s="78">
        <v>1235112</v>
      </c>
      <c r="AP70" s="100">
        <v>0</v>
      </c>
      <c r="AQ70" s="100">
        <v>0</v>
      </c>
      <c r="AR70" s="77">
        <v>0</v>
      </c>
      <c r="AS70" s="78">
        <v>0</v>
      </c>
      <c r="AT70" s="78">
        <f t="shared" si="23"/>
        <v>1235112</v>
      </c>
      <c r="AU70" s="100">
        <f t="shared" si="24"/>
        <v>23.46</v>
      </c>
      <c r="AV70" s="78">
        <f t="shared" si="24"/>
        <v>6817817</v>
      </c>
      <c r="AW70" s="78">
        <f t="shared" si="25"/>
        <v>0</v>
      </c>
      <c r="AX70" s="78">
        <f t="shared" si="26"/>
        <v>6817817</v>
      </c>
      <c r="AY70" s="101">
        <f t="shared" si="27"/>
        <v>4.085</v>
      </c>
      <c r="AZ70" s="101">
        <f t="shared" si="28"/>
        <v>18.465</v>
      </c>
      <c r="BA70" s="101">
        <f t="shared" si="29"/>
        <v>22.55</v>
      </c>
      <c r="BB70" s="82">
        <v>0.02</v>
      </c>
      <c r="BC70" s="78">
        <v>2865924</v>
      </c>
      <c r="BD70" s="78">
        <v>0</v>
      </c>
      <c r="BE70" s="78">
        <f t="shared" si="30"/>
        <v>2865924</v>
      </c>
      <c r="BF70" s="78">
        <f t="shared" si="31"/>
        <v>143296200</v>
      </c>
      <c r="BG70" s="82">
        <f t="shared" si="32"/>
        <v>0.02</v>
      </c>
      <c r="BH70" s="82">
        <f t="shared" si="33"/>
        <v>0</v>
      </c>
      <c r="BI70" s="78">
        <f t="shared" si="34"/>
        <v>9742720</v>
      </c>
    </row>
    <row r="71" spans="2:61" ht="12.75">
      <c r="B71" s="76">
        <v>64</v>
      </c>
      <c r="C71" s="77" t="s">
        <v>70</v>
      </c>
      <c r="D71" s="77">
        <f>'Table 4 Formula'!U71</f>
        <v>4189.28</v>
      </c>
      <c r="E71" s="78">
        <f t="shared" si="35"/>
        <v>1689771</v>
      </c>
      <c r="F71" s="78">
        <f t="shared" si="9"/>
        <v>403.36</v>
      </c>
      <c r="G71" s="78">
        <f t="shared" si="36"/>
        <v>2627522</v>
      </c>
      <c r="H71" s="78">
        <f t="shared" si="10"/>
        <v>627.2</v>
      </c>
      <c r="I71" s="78">
        <v>381279</v>
      </c>
      <c r="J71" s="78">
        <f t="shared" si="11"/>
        <v>91.01</v>
      </c>
      <c r="K71" s="78">
        <f t="shared" si="12"/>
        <v>4698572</v>
      </c>
      <c r="L71" s="78">
        <f t="shared" si="13"/>
        <v>1121.57</v>
      </c>
      <c r="M71" s="102">
        <f t="shared" si="37"/>
        <v>0.71060101</v>
      </c>
      <c r="N71" s="77">
        <f t="shared" si="38"/>
        <v>35</v>
      </c>
      <c r="O71" s="99">
        <f t="shared" si="39"/>
        <v>35.746</v>
      </c>
      <c r="P71" s="78">
        <f t="shared" si="40"/>
        <v>1486275</v>
      </c>
      <c r="Q71" s="78">
        <f t="shared" si="14"/>
        <v>354.78</v>
      </c>
      <c r="R71" s="82">
        <f t="shared" si="41"/>
        <v>0.02</v>
      </c>
      <c r="S71" s="78">
        <f t="shared" si="42"/>
        <v>3037598</v>
      </c>
      <c r="T71" s="78">
        <f t="shared" si="15"/>
        <v>725.0883206660811</v>
      </c>
      <c r="U71" s="78">
        <f t="shared" si="16"/>
        <v>381279</v>
      </c>
      <c r="V71" s="77">
        <f t="shared" si="17"/>
        <v>91.01</v>
      </c>
      <c r="W71" s="78">
        <f t="shared" si="18"/>
        <v>4905152</v>
      </c>
      <c r="X71" s="78">
        <f t="shared" si="19"/>
        <v>1170.88</v>
      </c>
      <c r="Y71" s="80">
        <f t="shared" si="20"/>
        <v>1.043965</v>
      </c>
      <c r="Z71" s="77">
        <f t="shared" si="43"/>
        <v>27</v>
      </c>
      <c r="AA71" s="77"/>
      <c r="AB71" s="78">
        <v>54833440</v>
      </c>
      <c r="AC71" s="78">
        <v>13254420</v>
      </c>
      <c r="AD71" s="78">
        <f t="shared" si="21"/>
        <v>41579020</v>
      </c>
      <c r="AE71" s="99">
        <v>4.76</v>
      </c>
      <c r="AF71" s="78">
        <v>186910</v>
      </c>
      <c r="AG71" s="99">
        <v>16.62</v>
      </c>
      <c r="AH71" s="78">
        <v>652614</v>
      </c>
      <c r="AI71" s="173">
        <v>0</v>
      </c>
      <c r="AJ71" s="173">
        <v>0</v>
      </c>
      <c r="AK71" s="77">
        <v>0</v>
      </c>
      <c r="AL71" s="78">
        <v>0</v>
      </c>
      <c r="AM71" s="78">
        <f t="shared" si="22"/>
        <v>839524</v>
      </c>
      <c r="AN71" s="175">
        <v>0</v>
      </c>
      <c r="AO71" s="78">
        <v>0</v>
      </c>
      <c r="AP71" s="173">
        <v>8</v>
      </c>
      <c r="AQ71" s="100">
        <v>48</v>
      </c>
      <c r="AR71" s="77">
        <v>5</v>
      </c>
      <c r="AS71" s="78">
        <v>646751</v>
      </c>
      <c r="AT71" s="78">
        <f t="shared" si="23"/>
        <v>646751</v>
      </c>
      <c r="AU71" s="100">
        <f t="shared" si="24"/>
        <v>21.380000000000003</v>
      </c>
      <c r="AV71" s="78">
        <f t="shared" si="24"/>
        <v>839524</v>
      </c>
      <c r="AW71" s="78">
        <f t="shared" si="25"/>
        <v>646751</v>
      </c>
      <c r="AX71" s="78">
        <f t="shared" si="26"/>
        <v>1486275</v>
      </c>
      <c r="AY71" s="101">
        <f t="shared" si="27"/>
        <v>15.555</v>
      </c>
      <c r="AZ71" s="101">
        <f t="shared" si="28"/>
        <v>20.191</v>
      </c>
      <c r="BA71" s="101">
        <f t="shared" si="29"/>
        <v>35.746</v>
      </c>
      <c r="BB71" s="82">
        <v>0.02</v>
      </c>
      <c r="BC71" s="78">
        <v>3037598</v>
      </c>
      <c r="BD71" s="78">
        <v>0</v>
      </c>
      <c r="BE71" s="78">
        <f t="shared" si="30"/>
        <v>3037598</v>
      </c>
      <c r="BF71" s="78">
        <f t="shared" si="31"/>
        <v>151879900</v>
      </c>
      <c r="BG71" s="82">
        <f t="shared" si="32"/>
        <v>0.02</v>
      </c>
      <c r="BH71" s="82">
        <f t="shared" si="33"/>
        <v>0</v>
      </c>
      <c r="BI71" s="78">
        <f t="shared" si="34"/>
        <v>4905152</v>
      </c>
    </row>
    <row r="72" spans="2:61" ht="12.75">
      <c r="B72" s="76">
        <v>65</v>
      </c>
      <c r="C72" s="77" t="s">
        <v>71</v>
      </c>
      <c r="D72" s="77">
        <f>'Table 4 Formula'!U72</f>
        <v>13699.09</v>
      </c>
      <c r="E72" s="78">
        <f t="shared" si="35"/>
        <v>9643374</v>
      </c>
      <c r="F72" s="78">
        <f t="shared" si="9"/>
        <v>703.94</v>
      </c>
      <c r="G72" s="78">
        <f t="shared" si="36"/>
        <v>16557769</v>
      </c>
      <c r="H72" s="78">
        <f t="shared" si="10"/>
        <v>1208.68</v>
      </c>
      <c r="I72" s="78">
        <v>538636</v>
      </c>
      <c r="J72" s="78">
        <f t="shared" si="11"/>
        <v>39.32</v>
      </c>
      <c r="K72" s="78">
        <f t="shared" si="12"/>
        <v>26739779</v>
      </c>
      <c r="L72" s="78">
        <f t="shared" si="13"/>
        <v>1951.94</v>
      </c>
      <c r="M72" s="102">
        <f>ROUND(L72/L$75,8)</f>
        <v>1.23670439</v>
      </c>
      <c r="N72" s="77">
        <f>RANK(M72,M$8:M$73,0)</f>
        <v>14</v>
      </c>
      <c r="O72" s="99">
        <f t="shared" si="39"/>
        <v>49.173</v>
      </c>
      <c r="P72" s="78">
        <f t="shared" si="40"/>
        <v>11668120</v>
      </c>
      <c r="Q72" s="78">
        <f t="shared" si="14"/>
        <v>851.74</v>
      </c>
      <c r="R72" s="82">
        <f t="shared" si="41"/>
        <v>0.01</v>
      </c>
      <c r="S72" s="78">
        <f t="shared" si="42"/>
        <v>9570965</v>
      </c>
      <c r="T72" s="78">
        <f t="shared" si="15"/>
        <v>698.6569910848093</v>
      </c>
      <c r="U72" s="78">
        <f t="shared" si="16"/>
        <v>538636</v>
      </c>
      <c r="V72" s="77">
        <f t="shared" si="17"/>
        <v>39.32</v>
      </c>
      <c r="W72" s="78">
        <f t="shared" si="18"/>
        <v>21777721</v>
      </c>
      <c r="X72" s="78">
        <f t="shared" si="19"/>
        <v>1589.72</v>
      </c>
      <c r="Y72" s="80">
        <f t="shared" si="20"/>
        <v>0.814431</v>
      </c>
      <c r="Z72" s="77">
        <f>RANK(Y72,Y$8:Y$73,0)</f>
        <v>47</v>
      </c>
      <c r="AA72" s="77"/>
      <c r="AB72" s="78">
        <v>280380476</v>
      </c>
      <c r="AC72" s="78">
        <v>43092739</v>
      </c>
      <c r="AD72" s="78">
        <f t="shared" si="21"/>
        <v>237287737</v>
      </c>
      <c r="AE72" s="99">
        <v>6.44</v>
      </c>
      <c r="AF72" s="78">
        <v>1477961</v>
      </c>
      <c r="AG72" s="99">
        <v>20.55</v>
      </c>
      <c r="AH72" s="78">
        <v>4716355</v>
      </c>
      <c r="AI72" s="173">
        <v>0</v>
      </c>
      <c r="AJ72" s="173">
        <v>0</v>
      </c>
      <c r="AK72" s="77">
        <v>0</v>
      </c>
      <c r="AL72" s="78">
        <v>0</v>
      </c>
      <c r="AM72" s="78">
        <f t="shared" si="22"/>
        <v>6194316</v>
      </c>
      <c r="AN72" s="173">
        <v>23.25</v>
      </c>
      <c r="AO72" s="78">
        <v>5473804</v>
      </c>
      <c r="AP72" s="100">
        <v>0</v>
      </c>
      <c r="AQ72" s="100">
        <v>0</v>
      </c>
      <c r="AR72" s="77">
        <v>0</v>
      </c>
      <c r="AS72" s="78">
        <v>0</v>
      </c>
      <c r="AT72" s="78">
        <f t="shared" si="23"/>
        <v>5473804</v>
      </c>
      <c r="AU72" s="100">
        <f t="shared" si="24"/>
        <v>50.24</v>
      </c>
      <c r="AV72" s="78">
        <f t="shared" si="24"/>
        <v>11668120</v>
      </c>
      <c r="AW72" s="78">
        <f t="shared" si="25"/>
        <v>0</v>
      </c>
      <c r="AX72" s="78">
        <f t="shared" si="26"/>
        <v>11668120</v>
      </c>
      <c r="AY72" s="101">
        <f t="shared" si="27"/>
        <v>23.068</v>
      </c>
      <c r="AZ72" s="101">
        <f t="shared" si="28"/>
        <v>26.105</v>
      </c>
      <c r="BA72" s="101">
        <f t="shared" si="29"/>
        <v>49.173</v>
      </c>
      <c r="BB72" s="82">
        <v>0.01</v>
      </c>
      <c r="BC72" s="78">
        <v>9570965</v>
      </c>
      <c r="BD72" s="78">
        <v>0</v>
      </c>
      <c r="BE72" s="78">
        <f t="shared" si="30"/>
        <v>9570965</v>
      </c>
      <c r="BF72" s="78">
        <f t="shared" si="31"/>
        <v>957096500</v>
      </c>
      <c r="BG72" s="82">
        <f t="shared" si="32"/>
        <v>0.01</v>
      </c>
      <c r="BH72" s="82">
        <f t="shared" si="33"/>
        <v>0</v>
      </c>
      <c r="BI72" s="78">
        <f t="shared" si="34"/>
        <v>21777721</v>
      </c>
    </row>
    <row r="73" spans="2:61" ht="12.75">
      <c r="B73" s="76">
        <v>66</v>
      </c>
      <c r="C73" s="77" t="s">
        <v>72</v>
      </c>
      <c r="D73" s="77">
        <f>'Table 4 Formula'!U73</f>
        <v>4859.9400000000005</v>
      </c>
      <c r="E73" s="78">
        <f t="shared" si="35"/>
        <v>1593666</v>
      </c>
      <c r="F73" s="78">
        <f>ROUND(E73/D73,2)</f>
        <v>327.92</v>
      </c>
      <c r="G73" s="78">
        <f t="shared" si="36"/>
        <v>3449182</v>
      </c>
      <c r="H73" s="78">
        <f>ROUND(G73/D73,2)</f>
        <v>709.72</v>
      </c>
      <c r="I73" s="78">
        <v>339110</v>
      </c>
      <c r="J73" s="78">
        <f>ROUND(I73/D73,2)</f>
        <v>69.78</v>
      </c>
      <c r="K73" s="78">
        <f>I73+G73+E73</f>
        <v>5381958</v>
      </c>
      <c r="L73" s="78">
        <f>ROUND(K73/D73,2)</f>
        <v>1107.41</v>
      </c>
      <c r="M73" s="102">
        <f>ROUND(L73/L$75,8)</f>
        <v>0.70162956</v>
      </c>
      <c r="N73" s="77">
        <f>RANK(M73,M$8:M$73,0)</f>
        <v>36</v>
      </c>
      <c r="O73" s="99">
        <f t="shared" si="39"/>
        <v>46.384</v>
      </c>
      <c r="P73" s="78">
        <f t="shared" si="40"/>
        <v>1818908</v>
      </c>
      <c r="Q73" s="78">
        <f>ROUND(P73/D73,2)</f>
        <v>374.27</v>
      </c>
      <c r="R73" s="82">
        <f t="shared" si="41"/>
        <v>0.01</v>
      </c>
      <c r="S73" s="78">
        <f t="shared" si="42"/>
        <v>1993747</v>
      </c>
      <c r="T73" s="78">
        <f>S73/D73</f>
        <v>410.24107293505676</v>
      </c>
      <c r="U73" s="78">
        <f>I73</f>
        <v>339110</v>
      </c>
      <c r="V73" s="77">
        <f>ROUND(U73/D73,2)</f>
        <v>69.78</v>
      </c>
      <c r="W73" s="78">
        <f>P73+S73+U73</f>
        <v>4151765</v>
      </c>
      <c r="X73" s="78">
        <f>ROUND(W73/D73,2)</f>
        <v>854.28</v>
      </c>
      <c r="Y73" s="80">
        <f>ROUND(X73/L73,6)</f>
        <v>0.771422</v>
      </c>
      <c r="Z73" s="77">
        <f>RANK(Y73,Y$8:Y$73,0)</f>
        <v>52</v>
      </c>
      <c r="AA73" s="77"/>
      <c r="AB73" s="78">
        <v>54210140</v>
      </c>
      <c r="AC73" s="78">
        <v>14995920</v>
      </c>
      <c r="AD73" s="78">
        <f>AB73-AC73</f>
        <v>39214220</v>
      </c>
      <c r="AE73" s="99">
        <v>6.44</v>
      </c>
      <c r="AF73" s="78">
        <v>225398</v>
      </c>
      <c r="AG73" s="99">
        <v>44.38</v>
      </c>
      <c r="AH73" s="78">
        <v>1593510</v>
      </c>
      <c r="AI73" s="173">
        <v>0</v>
      </c>
      <c r="AJ73" s="173">
        <v>0</v>
      </c>
      <c r="AK73" s="77">
        <v>0</v>
      </c>
      <c r="AL73" s="78">
        <v>0</v>
      </c>
      <c r="AM73" s="78">
        <f>AF73+AH73+AL73</f>
        <v>1818908</v>
      </c>
      <c r="AN73" s="175">
        <v>0</v>
      </c>
      <c r="AO73" s="78">
        <v>0</v>
      </c>
      <c r="AP73" s="100">
        <v>0</v>
      </c>
      <c r="AQ73" s="100">
        <v>0</v>
      </c>
      <c r="AR73" s="77">
        <v>0</v>
      </c>
      <c r="AS73" s="78">
        <v>0</v>
      </c>
      <c r="AT73" s="78">
        <f>AO73+AS73</f>
        <v>0</v>
      </c>
      <c r="AU73" s="100">
        <f>AE73+AG73+AN73</f>
        <v>50.82</v>
      </c>
      <c r="AV73" s="78">
        <f>AF73+AH73+AO73</f>
        <v>1818908</v>
      </c>
      <c r="AW73" s="78">
        <f>AL73+AS73</f>
        <v>0</v>
      </c>
      <c r="AX73" s="78">
        <f>AT73+AM73</f>
        <v>1818908</v>
      </c>
      <c r="AY73" s="101">
        <f>ROUND((AT73/AD73)*1000,3)</f>
        <v>0</v>
      </c>
      <c r="AZ73" s="101">
        <f>ROUND((AM73/AD73)*1000,3)</f>
        <v>46.384</v>
      </c>
      <c r="BA73" s="101">
        <f>ROUND((AX73/AD73)*1000,3)</f>
        <v>46.384</v>
      </c>
      <c r="BB73" s="82">
        <v>0.01</v>
      </c>
      <c r="BC73" s="78">
        <v>1993747</v>
      </c>
      <c r="BD73" s="78">
        <v>0</v>
      </c>
      <c r="BE73" s="78">
        <f>SUM(BC73+BD73)</f>
        <v>1993747</v>
      </c>
      <c r="BF73" s="78">
        <f>ROUND(BE73/BB73,0)</f>
        <v>199374700</v>
      </c>
      <c r="BG73" s="82">
        <f>ROUND(BC73/BF73,4)</f>
        <v>0.01</v>
      </c>
      <c r="BH73" s="82">
        <f>ROUND(BD73/BF73,4)</f>
        <v>0</v>
      </c>
      <c r="BI73" s="78">
        <f>AM73+AT73+BC73+BD73+I73</f>
        <v>4151765</v>
      </c>
    </row>
    <row r="74" spans="2:61" ht="12.75">
      <c r="B74" s="71"/>
      <c r="C74" s="72"/>
      <c r="D74" s="72"/>
      <c r="E74" s="72"/>
      <c r="F74" s="86"/>
      <c r="G74" s="72"/>
      <c r="H74" s="86"/>
      <c r="I74" s="72"/>
      <c r="J74" s="86"/>
      <c r="K74" s="72"/>
      <c r="L74" s="86"/>
      <c r="M74" s="102"/>
      <c r="N74" s="72"/>
      <c r="O74" s="99"/>
      <c r="P74" s="72"/>
      <c r="Q74" s="86"/>
      <c r="R74" s="84"/>
      <c r="S74" s="72"/>
      <c r="T74" s="72"/>
      <c r="U74" s="78"/>
      <c r="V74" s="86"/>
      <c r="W74" s="72"/>
      <c r="X74" s="86"/>
      <c r="Y74" s="107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 t="s">
        <v>4</v>
      </c>
      <c r="AW74" s="72"/>
      <c r="AX74" s="86"/>
      <c r="AY74" s="106"/>
      <c r="AZ74" s="106"/>
      <c r="BA74" s="106"/>
      <c r="BB74" s="72"/>
      <c r="BC74" s="72"/>
      <c r="BD74" s="72"/>
      <c r="BE74" s="72"/>
      <c r="BF74" s="72"/>
      <c r="BG74" s="84"/>
      <c r="BH74" s="72"/>
      <c r="BI74" s="72"/>
    </row>
    <row r="75" spans="2:61" ht="13.5" thickBot="1">
      <c r="B75" s="87"/>
      <c r="C75" s="88" t="s">
        <v>73</v>
      </c>
      <c r="D75" s="303">
        <f>SUM(D8:D73)</f>
        <v>993122.8999999999</v>
      </c>
      <c r="E75" s="109">
        <f>SUM(E8:E73)</f>
        <v>618802999</v>
      </c>
      <c r="F75" s="89">
        <f>ROUND(E75/D75,2)</f>
        <v>623.09</v>
      </c>
      <c r="G75" s="109">
        <f>SUM(G8:G73)</f>
        <v>912470835</v>
      </c>
      <c r="H75" s="89">
        <f>ROUND(G75/D75,2)</f>
        <v>918.79</v>
      </c>
      <c r="I75" s="109">
        <f>SUM(I8:I73)</f>
        <v>36213756</v>
      </c>
      <c r="J75" s="89">
        <f>ROUND(I75/D75,2)</f>
        <v>36.46</v>
      </c>
      <c r="K75" s="109">
        <f>SUM(K8:K73)</f>
        <v>1567487590</v>
      </c>
      <c r="L75" s="89">
        <f>ROUND(K75/D75,2)</f>
        <v>1578.34</v>
      </c>
      <c r="M75" s="111">
        <f>ROUND(L75/L$75,8)</f>
        <v>1</v>
      </c>
      <c r="N75" s="88"/>
      <c r="O75" s="112">
        <f>BA75</f>
        <v>40.64</v>
      </c>
      <c r="P75" s="109">
        <f>SUM(P8:P73)</f>
        <v>618800174</v>
      </c>
      <c r="Q75" s="89">
        <f>ROUND(P75/D75,2)</f>
        <v>623.09</v>
      </c>
      <c r="R75" s="94">
        <f>BB75</f>
        <v>0.0173</v>
      </c>
      <c r="S75" s="109">
        <f>SUM(S8:S73)</f>
        <v>913203900</v>
      </c>
      <c r="T75" s="89">
        <f>S75/D75</f>
        <v>919.5275831420261</v>
      </c>
      <c r="U75" s="109">
        <f>SUM(U8:U73)</f>
        <v>36213756</v>
      </c>
      <c r="V75" s="89">
        <f>ROUND(U75/D75,2)</f>
        <v>36.46</v>
      </c>
      <c r="W75" s="109">
        <f>SUM(W8:W73)</f>
        <v>1568217830</v>
      </c>
      <c r="X75" s="89">
        <f>ROUND(W75/D75,2)</f>
        <v>1579.08</v>
      </c>
      <c r="Y75" s="113">
        <f>ROUND(X75/L75,6)</f>
        <v>1.000469</v>
      </c>
      <c r="Z75" s="88"/>
      <c r="AA75" s="88"/>
      <c r="AB75" s="109">
        <f>SUM(AB8:AB73)</f>
        <v>20314218013</v>
      </c>
      <c r="AC75" s="109">
        <f>SUM(AC8:AC73)</f>
        <v>5087766320</v>
      </c>
      <c r="AD75" s="109">
        <f>SUM(AD8:AD73)</f>
        <v>15226451693</v>
      </c>
      <c r="AE75" s="88"/>
      <c r="AF75" s="109">
        <f>SUM(AF8:AF73)</f>
        <v>106262986</v>
      </c>
      <c r="AG75" s="88"/>
      <c r="AH75" s="109">
        <f>SUM(AH8:AH73)</f>
        <v>357983542</v>
      </c>
      <c r="AI75" s="88"/>
      <c r="AJ75" s="88"/>
      <c r="AK75" s="88"/>
      <c r="AL75" s="109">
        <f>SUM(AL8:AL73)</f>
        <v>13582097</v>
      </c>
      <c r="AM75" s="109">
        <f>SUM(AM8:AM73)</f>
        <v>477828625</v>
      </c>
      <c r="AN75" s="88"/>
      <c r="AO75" s="109">
        <f>SUM(AO8:AO73)</f>
        <v>87570420</v>
      </c>
      <c r="AP75" s="88"/>
      <c r="AQ75" s="88"/>
      <c r="AR75" s="88"/>
      <c r="AS75" s="109">
        <f>SUM(AS8:AS73)</f>
        <v>53401129</v>
      </c>
      <c r="AT75" s="109">
        <f>SUM(AT8:AT73)</f>
        <v>140971549</v>
      </c>
      <c r="AU75" s="88"/>
      <c r="AV75" s="109">
        <f>SUM(AV8:AV73)</f>
        <v>551816948</v>
      </c>
      <c r="AW75" s="109">
        <f>SUM(AW8:AW73)</f>
        <v>66983226</v>
      </c>
      <c r="AX75" s="109">
        <f>SUM(AX8:AX73)</f>
        <v>618800174</v>
      </c>
      <c r="AY75" s="110">
        <f>ROUND((AT75/AD75)*1000,3)</f>
        <v>9.258</v>
      </c>
      <c r="AZ75" s="110">
        <f>ROUND((AM75/AD75)*1000,3)</f>
        <v>31.381</v>
      </c>
      <c r="BA75" s="110">
        <f>ROUND((AX75/AD75)*1000,3)</f>
        <v>40.64</v>
      </c>
      <c r="BB75" s="94">
        <f>ROUND(BE75/BF75,4)</f>
        <v>0.0173</v>
      </c>
      <c r="BC75" s="109">
        <f>SUM(BC8:BC73)</f>
        <v>885361342</v>
      </c>
      <c r="BD75" s="109">
        <f>SUM(BD8:BD73)</f>
        <v>27842558</v>
      </c>
      <c r="BE75" s="109">
        <f>SUM(BE8:BE73)</f>
        <v>913203900</v>
      </c>
      <c r="BF75" s="109">
        <f>SUM(BF8:BF73)</f>
        <v>52743978836</v>
      </c>
      <c r="BG75" s="94">
        <f>ROUND(BC75/BF75,4)</f>
        <v>0.0168</v>
      </c>
      <c r="BH75" s="94">
        <v>0.0005</v>
      </c>
      <c r="BI75" s="109">
        <f>SUM(BI8:BI73)</f>
        <v>1568217830</v>
      </c>
    </row>
    <row r="76" ht="13.5" thickTop="1"/>
  </sheetData>
  <sheetProtection sheet="1" objects="1" scenarios="1"/>
  <mergeCells count="15">
    <mergeCell ref="AM4:AM5"/>
    <mergeCell ref="AN4:AS4"/>
    <mergeCell ref="AT4:AT5"/>
    <mergeCell ref="AU4:BA4"/>
    <mergeCell ref="BB4:BE4"/>
    <mergeCell ref="D1:H1"/>
    <mergeCell ref="BG4:BG5"/>
    <mergeCell ref="BH4:BH5"/>
    <mergeCell ref="E4:H4"/>
    <mergeCell ref="BF4:BF5"/>
    <mergeCell ref="BI4:BI5"/>
    <mergeCell ref="I3:I4"/>
    <mergeCell ref="AB4:AD4"/>
    <mergeCell ref="AE4:AF4"/>
    <mergeCell ref="AG4:AL4"/>
  </mergeCells>
  <printOptions/>
  <pageMargins left="0.48" right="0.29" top="0.62" bottom="0.34" header="0.31" footer="0.2"/>
  <pageSetup firstPageNumber="15" useFirstPageNumber="1" horizontalDpi="600" verticalDpi="600" orientation="portrait" paperSize="5" scale="82" r:id="rId1"/>
  <headerFooter alignWithMargins="0">
    <oddHeader>&amp;RCircular 1061</oddHeader>
    <oddFooter>&amp;L&amp;F, &amp;D&amp;CPrepared by Division of Education Finance&amp;RPage &amp;P</oddFooter>
  </headerFooter>
  <colBreaks count="7" manualBreakCount="7">
    <brk id="8" max="65535" man="1"/>
    <brk id="14" max="65535" man="1"/>
    <brk id="22" max="65535" man="1"/>
    <brk id="27" max="65535" man="1"/>
    <brk id="30" max="65535" man="1"/>
    <brk id="39" max="65535" man="1"/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57421875" style="0" bestFit="1" customWidth="1"/>
    <col min="2" max="2" width="19.7109375" style="0" customWidth="1"/>
    <col min="3" max="3" width="7.421875" style="0" customWidth="1"/>
    <col min="4" max="4" width="6.7109375" style="0" bestFit="1" customWidth="1"/>
    <col min="5" max="17" width="7.7109375" style="0" bestFit="1" customWidth="1"/>
    <col min="18" max="18" width="4.28125" style="0" customWidth="1"/>
    <col min="19" max="19" width="5.7109375" style="0" customWidth="1"/>
    <col min="20" max="20" width="9.28125" style="0" bestFit="1" customWidth="1"/>
    <col min="21" max="21" width="11.28125" style="0" bestFit="1" customWidth="1"/>
    <col min="22" max="22" width="2.7109375" style="0" customWidth="1"/>
    <col min="23" max="24" width="11.28125" style="0" bestFit="1" customWidth="1"/>
  </cols>
  <sheetData>
    <row r="1" spans="1:24" ht="33.75" customHeight="1">
      <c r="A1" s="408"/>
      <c r="B1" s="358"/>
      <c r="C1" s="358" t="s">
        <v>454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58" t="s">
        <v>671</v>
      </c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ht="23.25" customHeight="1">
      <c r="A2" s="408"/>
    </row>
    <row r="4" spans="1:24" ht="12.75">
      <c r="A4" s="153"/>
      <c r="B4" s="153"/>
      <c r="C4" s="409" t="s">
        <v>670</v>
      </c>
      <c r="D4" s="410"/>
      <c r="E4" s="410"/>
      <c r="F4" s="410"/>
      <c r="G4" s="410"/>
      <c r="H4" s="410"/>
      <c r="I4" s="410"/>
      <c r="J4" s="410"/>
      <c r="K4" s="410"/>
      <c r="L4" s="410"/>
      <c r="M4" s="411"/>
      <c r="N4" s="409" t="s">
        <v>672</v>
      </c>
      <c r="O4" s="410"/>
      <c r="P4" s="410"/>
      <c r="Q4" s="410"/>
      <c r="R4" s="410"/>
      <c r="S4" s="410"/>
      <c r="T4" s="411"/>
      <c r="U4" s="150" t="s">
        <v>456</v>
      </c>
      <c r="W4" s="145" t="s">
        <v>456</v>
      </c>
      <c r="X4" s="153"/>
    </row>
    <row r="5" spans="1:24" ht="12.75">
      <c r="A5" s="75" t="s">
        <v>669</v>
      </c>
      <c r="B5" s="154" t="s">
        <v>163</v>
      </c>
      <c r="C5" s="412"/>
      <c r="D5" s="413"/>
      <c r="E5" s="413"/>
      <c r="F5" s="413"/>
      <c r="G5" s="413"/>
      <c r="H5" s="413"/>
      <c r="I5" s="413"/>
      <c r="J5" s="413"/>
      <c r="K5" s="413"/>
      <c r="L5" s="413"/>
      <c r="M5" s="414"/>
      <c r="N5" s="412"/>
      <c r="O5" s="413"/>
      <c r="P5" s="413"/>
      <c r="Q5" s="413"/>
      <c r="R5" s="413"/>
      <c r="S5" s="413"/>
      <c r="T5" s="414"/>
      <c r="U5" s="152" t="s">
        <v>457</v>
      </c>
      <c r="W5" s="149" t="s">
        <v>458</v>
      </c>
      <c r="X5" s="135" t="s">
        <v>459</v>
      </c>
    </row>
    <row r="6" spans="1:24" s="144" customFormat="1" ht="12.75">
      <c r="A6" s="152"/>
      <c r="B6" s="152"/>
      <c r="C6" s="150" t="s">
        <v>460</v>
      </c>
      <c r="D6" s="150" t="s">
        <v>461</v>
      </c>
      <c r="E6" s="150" t="s">
        <v>462</v>
      </c>
      <c r="F6" s="150" t="s">
        <v>463</v>
      </c>
      <c r="G6" s="150" t="s">
        <v>464</v>
      </c>
      <c r="H6" s="150" t="s">
        <v>465</v>
      </c>
      <c r="I6" s="150" t="s">
        <v>466</v>
      </c>
      <c r="J6" s="150" t="s">
        <v>467</v>
      </c>
      <c r="K6" s="150" t="s">
        <v>468</v>
      </c>
      <c r="L6" s="150" t="s">
        <v>469</v>
      </c>
      <c r="M6" s="150" t="s">
        <v>470</v>
      </c>
      <c r="N6" s="150" t="s">
        <v>471</v>
      </c>
      <c r="O6" s="150" t="s">
        <v>472</v>
      </c>
      <c r="P6" s="150" t="s">
        <v>473</v>
      </c>
      <c r="Q6" s="150" t="s">
        <v>474</v>
      </c>
      <c r="R6" s="150" t="s">
        <v>475</v>
      </c>
      <c r="S6" s="150" t="s">
        <v>476</v>
      </c>
      <c r="T6" s="145" t="s">
        <v>477</v>
      </c>
      <c r="U6" s="152" t="s">
        <v>478</v>
      </c>
      <c r="W6" s="149" t="s">
        <v>478</v>
      </c>
      <c r="X6" s="152" t="s">
        <v>479</v>
      </c>
    </row>
    <row r="7" spans="1:24" ht="12.75">
      <c r="A7" s="151"/>
      <c r="B7" s="151"/>
      <c r="C7" s="151"/>
      <c r="D7" s="143" t="s">
        <v>480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47"/>
      <c r="U7" s="143"/>
      <c r="W7" s="359" t="s">
        <v>481</v>
      </c>
      <c r="X7" s="151"/>
    </row>
    <row r="8" spans="1:24" ht="12.75">
      <c r="A8" s="76">
        <v>1</v>
      </c>
      <c r="B8" s="146" t="s">
        <v>482</v>
      </c>
      <c r="C8" s="159">
        <v>35</v>
      </c>
      <c r="D8" s="155">
        <v>40</v>
      </c>
      <c r="E8" s="155">
        <v>778</v>
      </c>
      <c r="F8" s="155">
        <v>835</v>
      </c>
      <c r="G8" s="155">
        <v>796</v>
      </c>
      <c r="H8" s="155">
        <v>773</v>
      </c>
      <c r="I8" s="155">
        <v>794</v>
      </c>
      <c r="J8" s="155">
        <v>799</v>
      </c>
      <c r="K8" s="155">
        <v>785</v>
      </c>
      <c r="L8" s="155">
        <v>793</v>
      </c>
      <c r="M8" s="155">
        <v>716</v>
      </c>
      <c r="N8" s="155">
        <v>781</v>
      </c>
      <c r="O8" s="155">
        <v>633</v>
      </c>
      <c r="P8" s="155">
        <v>581</v>
      </c>
      <c r="Q8" s="155">
        <v>553</v>
      </c>
      <c r="R8" s="155"/>
      <c r="S8" s="155"/>
      <c r="T8" s="155">
        <v>329</v>
      </c>
      <c r="U8" s="156">
        <v>10021</v>
      </c>
      <c r="W8" s="155">
        <v>10309</v>
      </c>
      <c r="X8" s="155">
        <v>-288</v>
      </c>
    </row>
    <row r="9" spans="1:24" ht="12.75">
      <c r="A9" s="76">
        <v>2</v>
      </c>
      <c r="B9" s="146" t="s">
        <v>483</v>
      </c>
      <c r="C9" s="160">
        <v>0</v>
      </c>
      <c r="D9" s="156">
        <v>20</v>
      </c>
      <c r="E9" s="156">
        <v>345</v>
      </c>
      <c r="F9" s="156">
        <v>361</v>
      </c>
      <c r="G9" s="156">
        <v>357</v>
      </c>
      <c r="H9" s="156">
        <v>354</v>
      </c>
      <c r="I9" s="156">
        <v>382</v>
      </c>
      <c r="J9" s="156">
        <v>317</v>
      </c>
      <c r="K9" s="156">
        <v>372</v>
      </c>
      <c r="L9" s="156">
        <v>323</v>
      </c>
      <c r="M9" s="156">
        <v>319</v>
      </c>
      <c r="N9" s="156">
        <v>331</v>
      </c>
      <c r="O9" s="156">
        <v>264</v>
      </c>
      <c r="P9" s="156">
        <v>225</v>
      </c>
      <c r="Q9" s="156">
        <v>244</v>
      </c>
      <c r="R9" s="156"/>
      <c r="S9" s="156"/>
      <c r="T9" s="156">
        <v>29</v>
      </c>
      <c r="U9" s="156">
        <v>4243</v>
      </c>
      <c r="W9" s="156">
        <v>4262</v>
      </c>
      <c r="X9" s="156">
        <v>-19</v>
      </c>
    </row>
    <row r="10" spans="1:24" ht="12.75">
      <c r="A10" s="76">
        <v>3</v>
      </c>
      <c r="B10" s="146" t="s">
        <v>484</v>
      </c>
      <c r="C10" s="160">
        <v>30</v>
      </c>
      <c r="D10" s="156">
        <v>111</v>
      </c>
      <c r="E10" s="156">
        <v>1292</v>
      </c>
      <c r="F10" s="156">
        <v>1262</v>
      </c>
      <c r="G10" s="156">
        <v>1117</v>
      </c>
      <c r="H10" s="156">
        <v>1232</v>
      </c>
      <c r="I10" s="156">
        <v>1082</v>
      </c>
      <c r="J10" s="156">
        <v>1127</v>
      </c>
      <c r="K10" s="156">
        <v>1117</v>
      </c>
      <c r="L10" s="156">
        <v>1142</v>
      </c>
      <c r="M10" s="156">
        <v>1060</v>
      </c>
      <c r="N10" s="156">
        <v>1273</v>
      </c>
      <c r="O10" s="156">
        <v>1031</v>
      </c>
      <c r="P10" s="156">
        <v>921</v>
      </c>
      <c r="Q10" s="156">
        <v>803</v>
      </c>
      <c r="R10" s="156"/>
      <c r="S10" s="156"/>
      <c r="T10" s="156">
        <v>76</v>
      </c>
      <c r="U10" s="156">
        <v>14676</v>
      </c>
      <c r="W10" s="156">
        <v>14530</v>
      </c>
      <c r="X10" s="156">
        <v>146</v>
      </c>
    </row>
    <row r="11" spans="1:24" ht="12.75">
      <c r="A11" s="76">
        <v>4</v>
      </c>
      <c r="B11" s="146" t="s">
        <v>485</v>
      </c>
      <c r="C11" s="160">
        <v>19</v>
      </c>
      <c r="D11" s="156">
        <v>161</v>
      </c>
      <c r="E11" s="156">
        <v>284</v>
      </c>
      <c r="F11" s="156">
        <v>390</v>
      </c>
      <c r="G11" s="156">
        <v>382</v>
      </c>
      <c r="H11" s="156">
        <v>340</v>
      </c>
      <c r="I11" s="156">
        <v>341</v>
      </c>
      <c r="J11" s="156">
        <v>404</v>
      </c>
      <c r="K11" s="156">
        <v>375</v>
      </c>
      <c r="L11" s="156">
        <v>366</v>
      </c>
      <c r="M11" s="156">
        <v>294</v>
      </c>
      <c r="N11" s="156">
        <v>411</v>
      </c>
      <c r="O11" s="156">
        <v>298</v>
      </c>
      <c r="P11" s="156">
        <v>222</v>
      </c>
      <c r="Q11" s="156">
        <v>203</v>
      </c>
      <c r="R11" s="156"/>
      <c r="S11" s="156"/>
      <c r="T11" s="156">
        <v>64</v>
      </c>
      <c r="U11" s="156">
        <v>4554</v>
      </c>
      <c r="W11" s="156">
        <v>4597</v>
      </c>
      <c r="X11" s="156">
        <v>-43</v>
      </c>
    </row>
    <row r="12" spans="1:24" ht="12.75">
      <c r="A12" s="115">
        <v>5</v>
      </c>
      <c r="B12" s="147" t="s">
        <v>486</v>
      </c>
      <c r="C12" s="161">
        <v>23</v>
      </c>
      <c r="D12" s="157">
        <v>54</v>
      </c>
      <c r="E12" s="157">
        <v>593</v>
      </c>
      <c r="F12" s="157">
        <v>576</v>
      </c>
      <c r="G12" s="157">
        <v>507</v>
      </c>
      <c r="H12" s="157">
        <v>585</v>
      </c>
      <c r="I12" s="157">
        <v>534</v>
      </c>
      <c r="J12" s="157">
        <v>505</v>
      </c>
      <c r="K12" s="157">
        <v>577</v>
      </c>
      <c r="L12" s="157">
        <v>554</v>
      </c>
      <c r="M12" s="157">
        <v>447</v>
      </c>
      <c r="N12" s="157">
        <v>758</v>
      </c>
      <c r="O12" s="157">
        <v>475</v>
      </c>
      <c r="P12" s="157">
        <v>427</v>
      </c>
      <c r="Q12" s="157">
        <v>424</v>
      </c>
      <c r="R12" s="157"/>
      <c r="S12" s="157"/>
      <c r="T12" s="157">
        <v>160</v>
      </c>
      <c r="U12" s="157">
        <v>7199</v>
      </c>
      <c r="V12" s="148"/>
      <c r="W12" s="157">
        <v>7270</v>
      </c>
      <c r="X12" s="157">
        <v>-71</v>
      </c>
    </row>
    <row r="13" spans="1:24" ht="12.75">
      <c r="A13" s="76">
        <v>6</v>
      </c>
      <c r="B13" s="146" t="s">
        <v>487</v>
      </c>
      <c r="C13" s="160">
        <v>0</v>
      </c>
      <c r="D13" s="156">
        <v>105</v>
      </c>
      <c r="E13" s="156">
        <v>472</v>
      </c>
      <c r="F13" s="156">
        <v>534</v>
      </c>
      <c r="G13" s="156">
        <v>460</v>
      </c>
      <c r="H13" s="156">
        <v>484</v>
      </c>
      <c r="I13" s="156">
        <v>488</v>
      </c>
      <c r="J13" s="156">
        <v>476</v>
      </c>
      <c r="K13" s="156">
        <v>472</v>
      </c>
      <c r="L13" s="156">
        <v>464</v>
      </c>
      <c r="M13" s="156">
        <v>467</v>
      </c>
      <c r="N13" s="156">
        <v>461</v>
      </c>
      <c r="O13" s="156">
        <v>447</v>
      </c>
      <c r="P13" s="156">
        <v>403</v>
      </c>
      <c r="Q13" s="156">
        <v>354</v>
      </c>
      <c r="R13" s="156"/>
      <c r="S13" s="156"/>
      <c r="T13" s="156">
        <v>37</v>
      </c>
      <c r="U13" s="156">
        <v>6124</v>
      </c>
      <c r="W13" s="156">
        <v>6142</v>
      </c>
      <c r="X13" s="156">
        <v>-18</v>
      </c>
    </row>
    <row r="14" spans="1:24" ht="12.75">
      <c r="A14" s="76">
        <v>7</v>
      </c>
      <c r="B14" s="146" t="s">
        <v>488</v>
      </c>
      <c r="C14" s="160">
        <v>0</v>
      </c>
      <c r="D14" s="156">
        <v>23</v>
      </c>
      <c r="E14" s="156">
        <v>179</v>
      </c>
      <c r="F14" s="156">
        <v>215</v>
      </c>
      <c r="G14" s="156">
        <v>234</v>
      </c>
      <c r="H14" s="156">
        <v>221</v>
      </c>
      <c r="I14" s="156">
        <v>200</v>
      </c>
      <c r="J14" s="156">
        <v>192</v>
      </c>
      <c r="K14" s="156">
        <v>220</v>
      </c>
      <c r="L14" s="156">
        <v>240</v>
      </c>
      <c r="M14" s="156">
        <v>220</v>
      </c>
      <c r="N14" s="156">
        <v>211</v>
      </c>
      <c r="O14" s="156">
        <v>177</v>
      </c>
      <c r="P14" s="156">
        <v>141</v>
      </c>
      <c r="Q14" s="156">
        <v>157</v>
      </c>
      <c r="R14" s="156"/>
      <c r="S14" s="156"/>
      <c r="T14" s="156">
        <v>33</v>
      </c>
      <c r="U14" s="156">
        <v>2663</v>
      </c>
      <c r="W14" s="156">
        <v>2797</v>
      </c>
      <c r="X14" s="156">
        <v>-134</v>
      </c>
    </row>
    <row r="15" spans="1:24" ht="12.75">
      <c r="A15" s="76">
        <v>8</v>
      </c>
      <c r="B15" s="146" t="s">
        <v>489</v>
      </c>
      <c r="C15" s="160">
        <v>0</v>
      </c>
      <c r="D15" s="156">
        <v>131</v>
      </c>
      <c r="E15" s="156">
        <v>1447</v>
      </c>
      <c r="F15" s="156">
        <v>1534</v>
      </c>
      <c r="G15" s="156">
        <v>1497</v>
      </c>
      <c r="H15" s="156">
        <v>1486</v>
      </c>
      <c r="I15" s="156">
        <v>1505</v>
      </c>
      <c r="J15" s="156">
        <v>1362</v>
      </c>
      <c r="K15" s="156">
        <v>1546</v>
      </c>
      <c r="L15" s="156">
        <v>1482</v>
      </c>
      <c r="M15" s="156">
        <v>1553</v>
      </c>
      <c r="N15" s="156">
        <v>1466</v>
      </c>
      <c r="O15" s="156">
        <v>1304</v>
      </c>
      <c r="P15" s="156">
        <v>1257</v>
      </c>
      <c r="Q15" s="156">
        <v>1111</v>
      </c>
      <c r="R15" s="156"/>
      <c r="S15" s="156"/>
      <c r="T15" s="156">
        <v>0</v>
      </c>
      <c r="U15" s="156">
        <v>18681</v>
      </c>
      <c r="W15" s="156">
        <v>18522</v>
      </c>
      <c r="X15" s="156">
        <v>159</v>
      </c>
    </row>
    <row r="16" spans="1:24" ht="12.75">
      <c r="A16" s="76">
        <v>9</v>
      </c>
      <c r="B16" s="146" t="s">
        <v>490</v>
      </c>
      <c r="C16" s="160">
        <v>0</v>
      </c>
      <c r="D16" s="156">
        <v>285</v>
      </c>
      <c r="E16" s="156">
        <v>3461</v>
      </c>
      <c r="F16" s="156">
        <v>3636</v>
      </c>
      <c r="G16" s="156">
        <v>3630</v>
      </c>
      <c r="H16" s="156">
        <v>3771</v>
      </c>
      <c r="I16" s="156">
        <v>3475</v>
      </c>
      <c r="J16" s="156">
        <v>3278</v>
      </c>
      <c r="K16" s="156">
        <v>3518</v>
      </c>
      <c r="L16" s="156">
        <v>3632</v>
      </c>
      <c r="M16" s="156">
        <v>3568</v>
      </c>
      <c r="N16" s="156">
        <v>4201</v>
      </c>
      <c r="O16" s="156">
        <v>3553</v>
      </c>
      <c r="P16" s="156">
        <v>2826</v>
      </c>
      <c r="Q16" s="156">
        <v>2583</v>
      </c>
      <c r="R16" s="156"/>
      <c r="S16" s="156"/>
      <c r="T16" s="156">
        <v>0</v>
      </c>
      <c r="U16" s="156">
        <v>45417</v>
      </c>
      <c r="W16" s="156">
        <v>46293</v>
      </c>
      <c r="X16" s="156">
        <v>-876</v>
      </c>
    </row>
    <row r="17" spans="1:24" ht="12.75">
      <c r="A17" s="115">
        <v>10</v>
      </c>
      <c r="B17" s="147" t="s">
        <v>491</v>
      </c>
      <c r="C17" s="161">
        <v>0</v>
      </c>
      <c r="D17" s="157">
        <v>332</v>
      </c>
      <c r="E17" s="157">
        <v>2624</v>
      </c>
      <c r="F17" s="157">
        <v>2660</v>
      </c>
      <c r="G17" s="157">
        <v>2492</v>
      </c>
      <c r="H17" s="157">
        <v>2445</v>
      </c>
      <c r="I17" s="157">
        <v>2503</v>
      </c>
      <c r="J17" s="157">
        <v>2386</v>
      </c>
      <c r="K17" s="157">
        <v>2453</v>
      </c>
      <c r="L17" s="157">
        <v>2463</v>
      </c>
      <c r="M17" s="157">
        <v>2408</v>
      </c>
      <c r="N17" s="157">
        <v>2833</v>
      </c>
      <c r="O17" s="157">
        <v>2428</v>
      </c>
      <c r="P17" s="157">
        <v>2191</v>
      </c>
      <c r="Q17" s="157">
        <v>2002</v>
      </c>
      <c r="R17" s="157"/>
      <c r="S17" s="157"/>
      <c r="T17" s="157">
        <v>230</v>
      </c>
      <c r="U17" s="157">
        <v>32450</v>
      </c>
      <c r="V17" s="148"/>
      <c r="W17" s="157">
        <v>33080</v>
      </c>
      <c r="X17" s="157">
        <v>-630</v>
      </c>
    </row>
    <row r="18" spans="1:24" ht="12.75">
      <c r="A18" s="76">
        <v>11</v>
      </c>
      <c r="B18" s="146" t="s">
        <v>492</v>
      </c>
      <c r="C18" s="160">
        <v>0</v>
      </c>
      <c r="D18" s="156">
        <v>35</v>
      </c>
      <c r="E18" s="156">
        <v>134</v>
      </c>
      <c r="F18" s="156">
        <v>172</v>
      </c>
      <c r="G18" s="156">
        <v>151</v>
      </c>
      <c r="H18" s="156">
        <v>158</v>
      </c>
      <c r="I18" s="156">
        <v>141</v>
      </c>
      <c r="J18" s="156">
        <v>144</v>
      </c>
      <c r="K18" s="156">
        <v>130</v>
      </c>
      <c r="L18" s="156">
        <v>161</v>
      </c>
      <c r="M18" s="156">
        <v>148</v>
      </c>
      <c r="N18" s="156">
        <v>176</v>
      </c>
      <c r="O18" s="156">
        <v>97</v>
      </c>
      <c r="P18" s="156">
        <v>100</v>
      </c>
      <c r="Q18" s="156">
        <v>94</v>
      </c>
      <c r="R18" s="156"/>
      <c r="S18" s="156"/>
      <c r="T18" s="156">
        <v>8</v>
      </c>
      <c r="U18" s="156">
        <v>1849</v>
      </c>
      <c r="W18" s="156">
        <v>1951</v>
      </c>
      <c r="X18" s="156">
        <v>-102</v>
      </c>
    </row>
    <row r="19" spans="1:24" ht="12.75">
      <c r="A19" s="76">
        <v>12</v>
      </c>
      <c r="B19" s="146" t="s">
        <v>493</v>
      </c>
      <c r="C19" s="160">
        <v>0</v>
      </c>
      <c r="D19" s="156">
        <v>16</v>
      </c>
      <c r="E19" s="156">
        <v>146</v>
      </c>
      <c r="F19" s="156">
        <v>134</v>
      </c>
      <c r="G19" s="156">
        <v>162</v>
      </c>
      <c r="H19" s="156">
        <v>137</v>
      </c>
      <c r="I19" s="156">
        <v>167</v>
      </c>
      <c r="J19" s="156">
        <v>161</v>
      </c>
      <c r="K19" s="156">
        <v>172</v>
      </c>
      <c r="L19" s="156">
        <v>157</v>
      </c>
      <c r="M19" s="156">
        <v>160</v>
      </c>
      <c r="N19" s="156">
        <v>150</v>
      </c>
      <c r="O19" s="156">
        <v>127</v>
      </c>
      <c r="P19" s="156">
        <v>144</v>
      </c>
      <c r="Q19" s="156">
        <v>136</v>
      </c>
      <c r="R19" s="156"/>
      <c r="S19" s="156"/>
      <c r="T19" s="156">
        <v>13</v>
      </c>
      <c r="U19" s="156">
        <v>1982</v>
      </c>
      <c r="W19" s="156">
        <v>2071</v>
      </c>
      <c r="X19" s="156">
        <v>-89</v>
      </c>
    </row>
    <row r="20" spans="1:24" ht="12.75">
      <c r="A20" s="76">
        <v>13</v>
      </c>
      <c r="B20" s="146" t="s">
        <v>494</v>
      </c>
      <c r="C20" s="160">
        <v>0</v>
      </c>
      <c r="D20" s="156">
        <v>8</v>
      </c>
      <c r="E20" s="156">
        <v>157</v>
      </c>
      <c r="F20" s="156">
        <v>158</v>
      </c>
      <c r="G20" s="156">
        <v>160</v>
      </c>
      <c r="H20" s="156">
        <v>187</v>
      </c>
      <c r="I20" s="156">
        <v>155</v>
      </c>
      <c r="J20" s="156">
        <v>141</v>
      </c>
      <c r="K20" s="156">
        <v>141</v>
      </c>
      <c r="L20" s="156">
        <v>102</v>
      </c>
      <c r="M20" s="156">
        <v>174</v>
      </c>
      <c r="N20" s="156">
        <v>168</v>
      </c>
      <c r="O20" s="156">
        <v>142</v>
      </c>
      <c r="P20" s="156">
        <v>118</v>
      </c>
      <c r="Q20" s="156">
        <v>115</v>
      </c>
      <c r="R20" s="156"/>
      <c r="S20" s="156"/>
      <c r="T20" s="156">
        <v>27</v>
      </c>
      <c r="U20" s="156">
        <v>1953</v>
      </c>
      <c r="W20" s="156">
        <v>2040</v>
      </c>
      <c r="X20" s="156">
        <v>-87</v>
      </c>
    </row>
    <row r="21" spans="1:24" ht="12.75">
      <c r="A21" s="76">
        <v>14</v>
      </c>
      <c r="B21" s="146" t="s">
        <v>495</v>
      </c>
      <c r="C21" s="160">
        <v>11</v>
      </c>
      <c r="D21" s="156">
        <v>48</v>
      </c>
      <c r="E21" s="156">
        <v>213</v>
      </c>
      <c r="F21" s="156">
        <v>231</v>
      </c>
      <c r="G21" s="156">
        <v>220</v>
      </c>
      <c r="H21" s="156">
        <v>250</v>
      </c>
      <c r="I21" s="156">
        <v>232</v>
      </c>
      <c r="J21" s="156">
        <v>214</v>
      </c>
      <c r="K21" s="156">
        <v>228</v>
      </c>
      <c r="L21" s="156">
        <v>233</v>
      </c>
      <c r="M21" s="156">
        <v>227</v>
      </c>
      <c r="N21" s="156">
        <v>176</v>
      </c>
      <c r="O21" s="156">
        <v>199</v>
      </c>
      <c r="P21" s="156">
        <v>166</v>
      </c>
      <c r="Q21" s="156">
        <v>162</v>
      </c>
      <c r="R21" s="156"/>
      <c r="S21" s="156"/>
      <c r="T21" s="156">
        <v>3</v>
      </c>
      <c r="U21" s="156">
        <v>2813</v>
      </c>
      <c r="W21" s="156">
        <v>2887</v>
      </c>
      <c r="X21" s="156">
        <v>-74</v>
      </c>
    </row>
    <row r="22" spans="1:24" ht="12.75">
      <c r="A22" s="115">
        <v>15</v>
      </c>
      <c r="B22" s="147" t="s">
        <v>496</v>
      </c>
      <c r="C22" s="161">
        <v>22</v>
      </c>
      <c r="D22" s="157">
        <v>37</v>
      </c>
      <c r="E22" s="157">
        <v>322</v>
      </c>
      <c r="F22" s="157">
        <v>355</v>
      </c>
      <c r="G22" s="157">
        <v>333</v>
      </c>
      <c r="H22" s="157">
        <v>295</v>
      </c>
      <c r="I22" s="157">
        <v>329</v>
      </c>
      <c r="J22" s="157">
        <v>319</v>
      </c>
      <c r="K22" s="157">
        <v>313</v>
      </c>
      <c r="L22" s="157">
        <v>330</v>
      </c>
      <c r="M22" s="157">
        <v>279</v>
      </c>
      <c r="N22" s="157">
        <v>286</v>
      </c>
      <c r="O22" s="157">
        <v>257</v>
      </c>
      <c r="P22" s="157">
        <v>207</v>
      </c>
      <c r="Q22" s="157">
        <v>200</v>
      </c>
      <c r="R22" s="157"/>
      <c r="S22" s="157"/>
      <c r="T22" s="157">
        <v>50</v>
      </c>
      <c r="U22" s="157">
        <v>3934</v>
      </c>
      <c r="V22" s="148"/>
      <c r="W22" s="157">
        <v>4049</v>
      </c>
      <c r="X22" s="157">
        <v>-115</v>
      </c>
    </row>
    <row r="23" spans="1:24" ht="12.75">
      <c r="A23" s="76">
        <v>16</v>
      </c>
      <c r="B23" s="146" t="s">
        <v>497</v>
      </c>
      <c r="C23" s="160">
        <v>0</v>
      </c>
      <c r="D23" s="156">
        <v>45</v>
      </c>
      <c r="E23" s="156">
        <v>385</v>
      </c>
      <c r="F23" s="156">
        <v>411</v>
      </c>
      <c r="G23" s="156">
        <v>394</v>
      </c>
      <c r="H23" s="156">
        <v>391</v>
      </c>
      <c r="I23" s="156">
        <v>401</v>
      </c>
      <c r="J23" s="156">
        <v>398</v>
      </c>
      <c r="K23" s="156">
        <v>421</v>
      </c>
      <c r="L23" s="156">
        <v>418</v>
      </c>
      <c r="M23" s="156">
        <v>367</v>
      </c>
      <c r="N23" s="156">
        <v>501</v>
      </c>
      <c r="O23" s="156">
        <v>315</v>
      </c>
      <c r="P23" s="156">
        <v>318</v>
      </c>
      <c r="Q23" s="156">
        <v>273</v>
      </c>
      <c r="R23" s="156"/>
      <c r="S23" s="156"/>
      <c r="T23" s="156">
        <v>57</v>
      </c>
      <c r="U23" s="156">
        <v>5095</v>
      </c>
      <c r="W23" s="156">
        <v>5149</v>
      </c>
      <c r="X23" s="156">
        <v>-54</v>
      </c>
    </row>
    <row r="24" spans="1:24" ht="12.75">
      <c r="A24" s="76">
        <v>17</v>
      </c>
      <c r="B24" s="146" t="s">
        <v>498</v>
      </c>
      <c r="C24" s="160">
        <v>0</v>
      </c>
      <c r="D24" s="156">
        <v>160</v>
      </c>
      <c r="E24" s="156">
        <v>4158</v>
      </c>
      <c r="F24" s="156">
        <v>4522</v>
      </c>
      <c r="G24" s="156">
        <v>4259</v>
      </c>
      <c r="H24" s="156">
        <v>3947</v>
      </c>
      <c r="I24" s="156">
        <v>3836</v>
      </c>
      <c r="J24" s="156">
        <v>3880</v>
      </c>
      <c r="K24" s="156">
        <v>4300</v>
      </c>
      <c r="L24" s="156">
        <v>4048</v>
      </c>
      <c r="M24" s="156">
        <v>4076</v>
      </c>
      <c r="N24" s="156">
        <v>4576</v>
      </c>
      <c r="O24" s="156">
        <v>4107</v>
      </c>
      <c r="P24" s="156">
        <v>3522</v>
      </c>
      <c r="Q24" s="156">
        <v>3145</v>
      </c>
      <c r="R24" s="156"/>
      <c r="S24" s="156"/>
      <c r="T24" s="156">
        <v>2142</v>
      </c>
      <c r="U24" s="156">
        <v>54678</v>
      </c>
      <c r="W24" s="156">
        <v>55438</v>
      </c>
      <c r="X24" s="156">
        <v>-760</v>
      </c>
    </row>
    <row r="25" spans="1:24" ht="12.75">
      <c r="A25" s="76">
        <v>18</v>
      </c>
      <c r="B25" s="146" t="s">
        <v>499</v>
      </c>
      <c r="C25" s="160">
        <v>0</v>
      </c>
      <c r="D25" s="156">
        <v>12</v>
      </c>
      <c r="E25" s="156">
        <v>172</v>
      </c>
      <c r="F25" s="156">
        <v>177</v>
      </c>
      <c r="G25" s="156">
        <v>170</v>
      </c>
      <c r="H25" s="156">
        <v>181</v>
      </c>
      <c r="I25" s="156">
        <v>142</v>
      </c>
      <c r="J25" s="156">
        <v>148</v>
      </c>
      <c r="K25" s="156">
        <v>127</v>
      </c>
      <c r="L25" s="156">
        <v>156</v>
      </c>
      <c r="M25" s="156">
        <v>118</v>
      </c>
      <c r="N25" s="156">
        <v>157</v>
      </c>
      <c r="O25" s="156">
        <v>122</v>
      </c>
      <c r="P25" s="156">
        <v>107</v>
      </c>
      <c r="Q25" s="156">
        <v>94</v>
      </c>
      <c r="R25" s="156"/>
      <c r="S25" s="156"/>
      <c r="T25" s="156">
        <v>28</v>
      </c>
      <c r="U25" s="156">
        <v>1911</v>
      </c>
      <c r="W25" s="156">
        <v>1962</v>
      </c>
      <c r="X25" s="156">
        <v>-51</v>
      </c>
    </row>
    <row r="26" spans="1:24" ht="12.75">
      <c r="A26" s="76">
        <v>19</v>
      </c>
      <c r="B26" s="146" t="s">
        <v>500</v>
      </c>
      <c r="C26" s="160">
        <v>0</v>
      </c>
      <c r="D26" s="156">
        <v>11</v>
      </c>
      <c r="E26" s="156">
        <v>208</v>
      </c>
      <c r="F26" s="156">
        <v>243</v>
      </c>
      <c r="G26" s="156">
        <v>217</v>
      </c>
      <c r="H26" s="156">
        <v>183</v>
      </c>
      <c r="I26" s="156">
        <v>221</v>
      </c>
      <c r="J26" s="156">
        <v>190</v>
      </c>
      <c r="K26" s="156">
        <v>228</v>
      </c>
      <c r="L26" s="156">
        <v>204</v>
      </c>
      <c r="M26" s="156">
        <v>198</v>
      </c>
      <c r="N26" s="156">
        <v>222</v>
      </c>
      <c r="O26" s="156">
        <v>202</v>
      </c>
      <c r="P26" s="156">
        <v>154</v>
      </c>
      <c r="Q26" s="156">
        <v>152</v>
      </c>
      <c r="R26" s="156"/>
      <c r="S26" s="156"/>
      <c r="T26" s="156">
        <v>27</v>
      </c>
      <c r="U26" s="156">
        <v>2660</v>
      </c>
      <c r="W26" s="156">
        <v>2765</v>
      </c>
      <c r="X26" s="156">
        <v>-105</v>
      </c>
    </row>
    <row r="27" spans="1:24" ht="12.75">
      <c r="A27" s="115">
        <v>20</v>
      </c>
      <c r="B27" s="147" t="s">
        <v>501</v>
      </c>
      <c r="C27" s="161">
        <v>21</v>
      </c>
      <c r="D27" s="157">
        <v>54</v>
      </c>
      <c r="E27" s="157">
        <v>483</v>
      </c>
      <c r="F27" s="157">
        <v>605</v>
      </c>
      <c r="G27" s="157">
        <v>502</v>
      </c>
      <c r="H27" s="157">
        <v>516</v>
      </c>
      <c r="I27" s="157">
        <v>587</v>
      </c>
      <c r="J27" s="157">
        <v>513</v>
      </c>
      <c r="K27" s="157">
        <v>458</v>
      </c>
      <c r="L27" s="157">
        <v>528</v>
      </c>
      <c r="M27" s="157">
        <v>399</v>
      </c>
      <c r="N27" s="157">
        <v>579</v>
      </c>
      <c r="O27" s="157">
        <v>371</v>
      </c>
      <c r="P27" s="157">
        <v>329</v>
      </c>
      <c r="Q27" s="157">
        <v>285</v>
      </c>
      <c r="R27" s="157"/>
      <c r="S27" s="157"/>
      <c r="T27" s="157">
        <v>110</v>
      </c>
      <c r="U27" s="157">
        <v>6340</v>
      </c>
      <c r="V27" s="148"/>
      <c r="W27" s="157">
        <v>6676</v>
      </c>
      <c r="X27" s="157">
        <v>-336</v>
      </c>
    </row>
    <row r="28" spans="1:24" ht="12.75">
      <c r="A28" s="76">
        <v>21</v>
      </c>
      <c r="B28" s="146" t="s">
        <v>502</v>
      </c>
      <c r="C28" s="160">
        <v>17</v>
      </c>
      <c r="D28" s="156">
        <v>42</v>
      </c>
      <c r="E28" s="156">
        <v>307</v>
      </c>
      <c r="F28" s="156">
        <v>298</v>
      </c>
      <c r="G28" s="156">
        <v>328</v>
      </c>
      <c r="H28" s="156">
        <v>315</v>
      </c>
      <c r="I28" s="156">
        <v>317</v>
      </c>
      <c r="J28" s="156">
        <v>288</v>
      </c>
      <c r="K28" s="156">
        <v>367</v>
      </c>
      <c r="L28" s="156">
        <v>296</v>
      </c>
      <c r="M28" s="156">
        <v>294</v>
      </c>
      <c r="N28" s="156">
        <v>333</v>
      </c>
      <c r="O28" s="156">
        <v>294</v>
      </c>
      <c r="P28" s="156">
        <v>218</v>
      </c>
      <c r="Q28" s="156">
        <v>216</v>
      </c>
      <c r="R28" s="156"/>
      <c r="S28" s="156"/>
      <c r="T28" s="156">
        <v>78</v>
      </c>
      <c r="U28" s="156">
        <v>4008</v>
      </c>
      <c r="W28" s="156">
        <v>4107</v>
      </c>
      <c r="X28" s="156">
        <v>-99</v>
      </c>
    </row>
    <row r="29" spans="1:24" ht="12.75">
      <c r="A29" s="76">
        <v>22</v>
      </c>
      <c r="B29" s="146" t="s">
        <v>503</v>
      </c>
      <c r="C29" s="160">
        <v>10</v>
      </c>
      <c r="D29" s="156">
        <v>47</v>
      </c>
      <c r="E29" s="156">
        <v>274</v>
      </c>
      <c r="F29" s="156">
        <v>297</v>
      </c>
      <c r="G29" s="156">
        <v>304</v>
      </c>
      <c r="H29" s="156">
        <v>315</v>
      </c>
      <c r="I29" s="156">
        <v>278</v>
      </c>
      <c r="J29" s="156">
        <v>293</v>
      </c>
      <c r="K29" s="156">
        <v>292</v>
      </c>
      <c r="L29" s="156">
        <v>302</v>
      </c>
      <c r="M29" s="156">
        <v>256</v>
      </c>
      <c r="N29" s="156">
        <v>320</v>
      </c>
      <c r="O29" s="156">
        <v>239</v>
      </c>
      <c r="P29" s="156">
        <v>232</v>
      </c>
      <c r="Q29" s="156">
        <v>158</v>
      </c>
      <c r="R29" s="156"/>
      <c r="S29" s="156"/>
      <c r="T29" s="156">
        <v>0</v>
      </c>
      <c r="U29" s="156">
        <v>3617</v>
      </c>
      <c r="W29" s="156">
        <v>3687</v>
      </c>
      <c r="X29" s="156">
        <v>-70</v>
      </c>
    </row>
    <row r="30" spans="1:24" ht="12.75">
      <c r="A30" s="76">
        <v>23</v>
      </c>
      <c r="B30" s="146" t="s">
        <v>504</v>
      </c>
      <c r="C30" s="160">
        <v>39</v>
      </c>
      <c r="D30" s="156">
        <v>116</v>
      </c>
      <c r="E30" s="156">
        <v>1070</v>
      </c>
      <c r="F30" s="156">
        <v>1237</v>
      </c>
      <c r="G30" s="156">
        <v>1202</v>
      </c>
      <c r="H30" s="156">
        <v>1190</v>
      </c>
      <c r="I30" s="156">
        <v>1100</v>
      </c>
      <c r="J30" s="156">
        <v>1083</v>
      </c>
      <c r="K30" s="156">
        <v>1061</v>
      </c>
      <c r="L30" s="156">
        <v>1215</v>
      </c>
      <c r="M30" s="156">
        <v>1141</v>
      </c>
      <c r="N30" s="156">
        <v>1203</v>
      </c>
      <c r="O30" s="156">
        <v>892</v>
      </c>
      <c r="P30" s="156">
        <v>845</v>
      </c>
      <c r="Q30" s="156">
        <v>789</v>
      </c>
      <c r="R30" s="156"/>
      <c r="S30" s="156"/>
      <c r="T30" s="156">
        <v>480</v>
      </c>
      <c r="U30" s="156">
        <v>14663</v>
      </c>
      <c r="W30" s="156">
        <v>15030</v>
      </c>
      <c r="X30" s="156">
        <v>-367</v>
      </c>
    </row>
    <row r="31" spans="1:24" ht="12.75">
      <c r="A31" s="76">
        <v>24</v>
      </c>
      <c r="B31" s="146" t="s">
        <v>505</v>
      </c>
      <c r="C31" s="160">
        <v>0</v>
      </c>
      <c r="D31" s="156">
        <v>21</v>
      </c>
      <c r="E31" s="156">
        <v>363</v>
      </c>
      <c r="F31" s="156">
        <v>484</v>
      </c>
      <c r="G31" s="156">
        <v>410</v>
      </c>
      <c r="H31" s="156">
        <v>421</v>
      </c>
      <c r="I31" s="156">
        <v>375</v>
      </c>
      <c r="J31" s="156">
        <v>352</v>
      </c>
      <c r="K31" s="156">
        <v>381</v>
      </c>
      <c r="L31" s="156">
        <v>416</v>
      </c>
      <c r="M31" s="156">
        <v>397</v>
      </c>
      <c r="N31" s="156">
        <v>495</v>
      </c>
      <c r="O31" s="156">
        <v>362</v>
      </c>
      <c r="P31" s="156">
        <v>294</v>
      </c>
      <c r="Q31" s="156">
        <v>257</v>
      </c>
      <c r="R31" s="156"/>
      <c r="S31" s="156"/>
      <c r="T31" s="156">
        <v>43</v>
      </c>
      <c r="U31" s="156">
        <v>5071</v>
      </c>
      <c r="W31" s="156">
        <v>5260</v>
      </c>
      <c r="X31" s="156">
        <v>-189</v>
      </c>
    </row>
    <row r="32" spans="1:24" ht="12.75">
      <c r="A32" s="115">
        <v>25</v>
      </c>
      <c r="B32" s="147" t="s">
        <v>506</v>
      </c>
      <c r="C32" s="161">
        <v>14</v>
      </c>
      <c r="D32" s="157">
        <v>15</v>
      </c>
      <c r="E32" s="157">
        <v>204</v>
      </c>
      <c r="F32" s="157">
        <v>198</v>
      </c>
      <c r="G32" s="157">
        <v>204</v>
      </c>
      <c r="H32" s="157">
        <v>203</v>
      </c>
      <c r="I32" s="157">
        <v>219</v>
      </c>
      <c r="J32" s="157">
        <v>172</v>
      </c>
      <c r="K32" s="157">
        <v>230</v>
      </c>
      <c r="L32" s="157">
        <v>235</v>
      </c>
      <c r="M32" s="157">
        <v>218</v>
      </c>
      <c r="N32" s="157">
        <v>223</v>
      </c>
      <c r="O32" s="157">
        <v>197</v>
      </c>
      <c r="P32" s="157">
        <v>155</v>
      </c>
      <c r="Q32" s="157">
        <v>163</v>
      </c>
      <c r="R32" s="157"/>
      <c r="S32" s="157"/>
      <c r="T32" s="157">
        <v>32</v>
      </c>
      <c r="U32" s="157">
        <v>2682</v>
      </c>
      <c r="V32" s="148"/>
      <c r="W32" s="157">
        <v>2718</v>
      </c>
      <c r="X32" s="157">
        <v>-36</v>
      </c>
    </row>
    <row r="33" spans="1:24" ht="12.75">
      <c r="A33" s="76">
        <v>26</v>
      </c>
      <c r="B33" s="146" t="s">
        <v>507</v>
      </c>
      <c r="C33" s="160">
        <v>0</v>
      </c>
      <c r="D33" s="156">
        <v>247</v>
      </c>
      <c r="E33" s="156">
        <v>3764</v>
      </c>
      <c r="F33" s="156">
        <v>4424</v>
      </c>
      <c r="G33" s="156">
        <v>4210</v>
      </c>
      <c r="H33" s="156">
        <v>4194</v>
      </c>
      <c r="I33" s="156">
        <v>4308</v>
      </c>
      <c r="J33" s="156">
        <v>4171</v>
      </c>
      <c r="K33" s="156">
        <v>4280</v>
      </c>
      <c r="L33" s="156">
        <v>4346</v>
      </c>
      <c r="M33" s="156">
        <v>3779</v>
      </c>
      <c r="N33" s="156">
        <v>4444</v>
      </c>
      <c r="O33" s="156">
        <v>3565</v>
      </c>
      <c r="P33" s="156">
        <v>2982</v>
      </c>
      <c r="Q33" s="156">
        <v>2657</v>
      </c>
      <c r="R33" s="156"/>
      <c r="S33" s="156"/>
      <c r="T33" s="156">
        <v>0</v>
      </c>
      <c r="U33" s="156">
        <v>51371</v>
      </c>
      <c r="W33" s="156">
        <v>53052</v>
      </c>
      <c r="X33" s="156">
        <v>-1681</v>
      </c>
    </row>
    <row r="34" spans="1:24" ht="12.75">
      <c r="A34" s="76">
        <v>27</v>
      </c>
      <c r="B34" s="146" t="s">
        <v>508</v>
      </c>
      <c r="C34" s="160">
        <v>12</v>
      </c>
      <c r="D34" s="156">
        <v>55</v>
      </c>
      <c r="E34" s="156">
        <v>473</v>
      </c>
      <c r="F34" s="156">
        <v>495</v>
      </c>
      <c r="G34" s="156">
        <v>471</v>
      </c>
      <c r="H34" s="156">
        <v>448</v>
      </c>
      <c r="I34" s="156">
        <v>448</v>
      </c>
      <c r="J34" s="156">
        <v>476</v>
      </c>
      <c r="K34" s="156">
        <v>462</v>
      </c>
      <c r="L34" s="156">
        <v>465</v>
      </c>
      <c r="M34" s="156">
        <v>426</v>
      </c>
      <c r="N34" s="156">
        <v>539</v>
      </c>
      <c r="O34" s="156">
        <v>421</v>
      </c>
      <c r="P34" s="156">
        <v>381</v>
      </c>
      <c r="Q34" s="156">
        <v>370</v>
      </c>
      <c r="R34" s="156"/>
      <c r="S34" s="156"/>
      <c r="T34" s="156">
        <v>20</v>
      </c>
      <c r="U34" s="156">
        <v>5962</v>
      </c>
      <c r="W34" s="156">
        <v>6092</v>
      </c>
      <c r="X34" s="156">
        <v>-130</v>
      </c>
    </row>
    <row r="35" spans="1:24" ht="12.75">
      <c r="A35" s="76">
        <v>28</v>
      </c>
      <c r="B35" s="146" t="s">
        <v>509</v>
      </c>
      <c r="C35" s="160">
        <v>89</v>
      </c>
      <c r="D35" s="156">
        <v>110</v>
      </c>
      <c r="E35" s="156">
        <v>2240</v>
      </c>
      <c r="F35" s="156">
        <v>2324</v>
      </c>
      <c r="G35" s="156">
        <v>2207</v>
      </c>
      <c r="H35" s="156">
        <v>2347</v>
      </c>
      <c r="I35" s="156">
        <v>2450</v>
      </c>
      <c r="J35" s="156">
        <v>2477</v>
      </c>
      <c r="K35" s="156">
        <v>2526</v>
      </c>
      <c r="L35" s="156">
        <v>2335</v>
      </c>
      <c r="M35" s="156">
        <v>2345</v>
      </c>
      <c r="N35" s="156">
        <v>2538</v>
      </c>
      <c r="O35" s="156">
        <v>2215</v>
      </c>
      <c r="P35" s="156">
        <v>1861</v>
      </c>
      <c r="Q35" s="156">
        <v>1703</v>
      </c>
      <c r="R35" s="156"/>
      <c r="S35" s="156"/>
      <c r="T35" s="156">
        <v>0</v>
      </c>
      <c r="U35" s="156">
        <v>29767</v>
      </c>
      <c r="W35" s="156">
        <v>30479</v>
      </c>
      <c r="X35" s="156">
        <v>-712</v>
      </c>
    </row>
    <row r="36" spans="1:24" ht="12.75">
      <c r="A36" s="76">
        <v>29</v>
      </c>
      <c r="B36" s="146" t="s">
        <v>510</v>
      </c>
      <c r="C36" s="160">
        <v>85</v>
      </c>
      <c r="D36" s="156">
        <v>122</v>
      </c>
      <c r="E36" s="156">
        <v>1059</v>
      </c>
      <c r="F36" s="156">
        <v>1217</v>
      </c>
      <c r="G36" s="156">
        <v>1220</v>
      </c>
      <c r="H36" s="156">
        <v>1241</v>
      </c>
      <c r="I36" s="156">
        <v>1201</v>
      </c>
      <c r="J36" s="156">
        <v>1150</v>
      </c>
      <c r="K36" s="156">
        <v>1166</v>
      </c>
      <c r="L36" s="156">
        <v>1228</v>
      </c>
      <c r="M36" s="156">
        <v>1344</v>
      </c>
      <c r="N36" s="156">
        <v>1099</v>
      </c>
      <c r="O36" s="156">
        <v>1166</v>
      </c>
      <c r="P36" s="156">
        <v>1071</v>
      </c>
      <c r="Q36" s="156">
        <v>982</v>
      </c>
      <c r="R36" s="156"/>
      <c r="S36" s="156"/>
      <c r="T36" s="156">
        <v>0</v>
      </c>
      <c r="U36" s="156">
        <v>15351</v>
      </c>
      <c r="W36" s="156">
        <v>15713</v>
      </c>
      <c r="X36" s="156">
        <v>-362</v>
      </c>
    </row>
    <row r="37" spans="1:24" ht="12.75">
      <c r="A37" s="115">
        <v>30</v>
      </c>
      <c r="B37" s="147" t="s">
        <v>511</v>
      </c>
      <c r="C37" s="161">
        <v>0</v>
      </c>
      <c r="D37" s="157">
        <v>9</v>
      </c>
      <c r="E37" s="157">
        <v>182</v>
      </c>
      <c r="F37" s="157">
        <v>223</v>
      </c>
      <c r="G37" s="157">
        <v>191</v>
      </c>
      <c r="H37" s="157">
        <v>206</v>
      </c>
      <c r="I37" s="157">
        <v>199</v>
      </c>
      <c r="J37" s="157">
        <v>184</v>
      </c>
      <c r="K37" s="157">
        <v>205</v>
      </c>
      <c r="L37" s="157">
        <v>196</v>
      </c>
      <c r="M37" s="157">
        <v>217</v>
      </c>
      <c r="N37" s="157">
        <v>229</v>
      </c>
      <c r="O37" s="157">
        <v>197</v>
      </c>
      <c r="P37" s="157">
        <v>172</v>
      </c>
      <c r="Q37" s="157">
        <v>155</v>
      </c>
      <c r="R37" s="157"/>
      <c r="S37" s="157"/>
      <c r="T37" s="157">
        <v>50</v>
      </c>
      <c r="U37" s="157">
        <v>2615</v>
      </c>
      <c r="V37" s="148"/>
      <c r="W37" s="157">
        <v>2883</v>
      </c>
      <c r="X37" s="157">
        <v>-268</v>
      </c>
    </row>
    <row r="38" spans="1:24" ht="12.75">
      <c r="A38" s="76">
        <v>31</v>
      </c>
      <c r="B38" s="146" t="s">
        <v>512</v>
      </c>
      <c r="C38" s="160">
        <v>0</v>
      </c>
      <c r="D38" s="156">
        <v>33</v>
      </c>
      <c r="E38" s="156">
        <v>585</v>
      </c>
      <c r="F38" s="156">
        <v>524</v>
      </c>
      <c r="G38" s="156">
        <v>539</v>
      </c>
      <c r="H38" s="156">
        <v>490</v>
      </c>
      <c r="I38" s="156">
        <v>489</v>
      </c>
      <c r="J38" s="156">
        <v>509</v>
      </c>
      <c r="K38" s="156">
        <v>536</v>
      </c>
      <c r="L38" s="156">
        <v>543</v>
      </c>
      <c r="M38" s="156">
        <v>496</v>
      </c>
      <c r="N38" s="156">
        <v>608</v>
      </c>
      <c r="O38" s="156">
        <v>501</v>
      </c>
      <c r="P38" s="156">
        <v>441</v>
      </c>
      <c r="Q38" s="156">
        <v>380</v>
      </c>
      <c r="R38" s="156"/>
      <c r="S38" s="156"/>
      <c r="T38" s="156">
        <v>81</v>
      </c>
      <c r="U38" s="156">
        <v>6755</v>
      </c>
      <c r="W38" s="156">
        <v>6765</v>
      </c>
      <c r="X38" s="156">
        <v>-10</v>
      </c>
    </row>
    <row r="39" spans="1:24" ht="12.75">
      <c r="A39" s="76">
        <v>32</v>
      </c>
      <c r="B39" s="146" t="s">
        <v>513</v>
      </c>
      <c r="C39" s="160">
        <v>0</v>
      </c>
      <c r="D39" s="156">
        <v>69</v>
      </c>
      <c r="E39" s="156">
        <v>1544</v>
      </c>
      <c r="F39" s="156">
        <v>1649</v>
      </c>
      <c r="G39" s="156">
        <v>1572</v>
      </c>
      <c r="H39" s="156">
        <v>1541</v>
      </c>
      <c r="I39" s="156">
        <v>1523</v>
      </c>
      <c r="J39" s="156">
        <v>1512</v>
      </c>
      <c r="K39" s="156">
        <v>1559</v>
      </c>
      <c r="L39" s="156">
        <v>1561</v>
      </c>
      <c r="M39" s="156">
        <v>1568</v>
      </c>
      <c r="N39" s="156">
        <v>1649</v>
      </c>
      <c r="O39" s="156">
        <v>1470</v>
      </c>
      <c r="P39" s="156">
        <v>1215</v>
      </c>
      <c r="Q39" s="156">
        <v>996</v>
      </c>
      <c r="R39" s="156"/>
      <c r="S39" s="156"/>
      <c r="T39" s="156">
        <v>0</v>
      </c>
      <c r="U39" s="156">
        <v>19428</v>
      </c>
      <c r="W39" s="156">
        <v>19185</v>
      </c>
      <c r="X39" s="156">
        <v>243</v>
      </c>
    </row>
    <row r="40" spans="1:24" ht="12.75">
      <c r="A40" s="76">
        <v>33</v>
      </c>
      <c r="B40" s="146" t="s">
        <v>514</v>
      </c>
      <c r="C40" s="160">
        <v>9</v>
      </c>
      <c r="D40" s="156">
        <v>12</v>
      </c>
      <c r="E40" s="156">
        <v>231</v>
      </c>
      <c r="F40" s="156">
        <v>247</v>
      </c>
      <c r="G40" s="156">
        <v>205</v>
      </c>
      <c r="H40" s="156">
        <v>200</v>
      </c>
      <c r="I40" s="156">
        <v>193</v>
      </c>
      <c r="J40" s="156">
        <v>184</v>
      </c>
      <c r="K40" s="156">
        <v>214</v>
      </c>
      <c r="L40" s="156">
        <v>214</v>
      </c>
      <c r="M40" s="156">
        <v>195</v>
      </c>
      <c r="N40" s="156">
        <v>181</v>
      </c>
      <c r="O40" s="156">
        <v>173</v>
      </c>
      <c r="P40" s="156">
        <v>131</v>
      </c>
      <c r="Q40" s="156">
        <v>135</v>
      </c>
      <c r="R40" s="156"/>
      <c r="S40" s="156"/>
      <c r="T40" s="156">
        <v>25</v>
      </c>
      <c r="U40" s="156">
        <v>2549</v>
      </c>
      <c r="W40" s="156">
        <v>2576</v>
      </c>
      <c r="X40" s="156">
        <v>-27</v>
      </c>
    </row>
    <row r="41" spans="1:24" ht="12.75">
      <c r="A41" s="76">
        <v>34</v>
      </c>
      <c r="B41" s="146" t="s">
        <v>515</v>
      </c>
      <c r="C41" s="160">
        <v>27</v>
      </c>
      <c r="D41" s="156">
        <v>67</v>
      </c>
      <c r="E41" s="156">
        <v>478</v>
      </c>
      <c r="F41" s="156">
        <v>507</v>
      </c>
      <c r="G41" s="156">
        <v>468</v>
      </c>
      <c r="H41" s="156">
        <v>480</v>
      </c>
      <c r="I41" s="156">
        <v>443</v>
      </c>
      <c r="J41" s="156">
        <v>419</v>
      </c>
      <c r="K41" s="156">
        <v>407</v>
      </c>
      <c r="L41" s="156">
        <v>468</v>
      </c>
      <c r="M41" s="156">
        <v>321</v>
      </c>
      <c r="N41" s="156">
        <v>400</v>
      </c>
      <c r="O41" s="156">
        <v>297</v>
      </c>
      <c r="P41" s="156">
        <v>286</v>
      </c>
      <c r="Q41" s="156">
        <v>281</v>
      </c>
      <c r="R41" s="156"/>
      <c r="S41" s="156"/>
      <c r="T41" s="156">
        <v>73</v>
      </c>
      <c r="U41" s="156">
        <v>5422</v>
      </c>
      <c r="W41" s="156">
        <v>5582</v>
      </c>
      <c r="X41" s="156">
        <v>-160</v>
      </c>
    </row>
    <row r="42" spans="1:24" ht="12.75">
      <c r="A42" s="115">
        <v>35</v>
      </c>
      <c r="B42" s="147" t="s">
        <v>516</v>
      </c>
      <c r="C42" s="161">
        <v>20</v>
      </c>
      <c r="D42" s="157">
        <v>89</v>
      </c>
      <c r="E42" s="157">
        <v>570</v>
      </c>
      <c r="F42" s="157">
        <v>567</v>
      </c>
      <c r="G42" s="157">
        <v>504</v>
      </c>
      <c r="H42" s="157">
        <v>532</v>
      </c>
      <c r="I42" s="157">
        <v>494</v>
      </c>
      <c r="J42" s="157">
        <v>577</v>
      </c>
      <c r="K42" s="157">
        <v>523</v>
      </c>
      <c r="L42" s="157">
        <v>564</v>
      </c>
      <c r="M42" s="157">
        <v>485</v>
      </c>
      <c r="N42" s="157">
        <v>722</v>
      </c>
      <c r="O42" s="157">
        <v>395</v>
      </c>
      <c r="P42" s="157">
        <v>397</v>
      </c>
      <c r="Q42" s="157">
        <v>335</v>
      </c>
      <c r="R42" s="157"/>
      <c r="S42" s="157"/>
      <c r="T42" s="157">
        <v>51</v>
      </c>
      <c r="U42" s="157">
        <v>6825</v>
      </c>
      <c r="V42" s="148"/>
      <c r="W42" s="157">
        <v>6954</v>
      </c>
      <c r="X42" s="157">
        <v>-129</v>
      </c>
    </row>
    <row r="43" spans="1:24" ht="12.75">
      <c r="A43" s="76">
        <v>36</v>
      </c>
      <c r="B43" s="146" t="s">
        <v>517</v>
      </c>
      <c r="C43" s="160">
        <v>0</v>
      </c>
      <c r="D43" s="156">
        <v>206</v>
      </c>
      <c r="E43" s="156">
        <v>5068</v>
      </c>
      <c r="F43" s="156">
        <v>8169</v>
      </c>
      <c r="G43" s="156">
        <v>6670</v>
      </c>
      <c r="H43" s="156">
        <v>6616</v>
      </c>
      <c r="I43" s="156">
        <v>6197</v>
      </c>
      <c r="J43" s="156">
        <v>6000</v>
      </c>
      <c r="K43" s="156">
        <v>6281</v>
      </c>
      <c r="L43" s="156">
        <v>6113</v>
      </c>
      <c r="M43" s="156">
        <v>5728</v>
      </c>
      <c r="N43" s="156">
        <v>6466</v>
      </c>
      <c r="O43" s="156">
        <v>5477</v>
      </c>
      <c r="P43" s="156">
        <v>4853</v>
      </c>
      <c r="Q43" s="156">
        <v>4472</v>
      </c>
      <c r="R43" s="156"/>
      <c r="S43" s="156"/>
      <c r="T43" s="156">
        <v>0</v>
      </c>
      <c r="U43" s="156">
        <v>78316</v>
      </c>
      <c r="W43" s="156">
        <v>79704</v>
      </c>
      <c r="X43" s="156">
        <v>-1388</v>
      </c>
    </row>
    <row r="44" spans="1:24" ht="12.75">
      <c r="A44" s="76">
        <v>37</v>
      </c>
      <c r="B44" s="146" t="s">
        <v>518</v>
      </c>
      <c r="C44" s="160">
        <v>62</v>
      </c>
      <c r="D44" s="156">
        <v>108</v>
      </c>
      <c r="E44" s="156">
        <v>1341</v>
      </c>
      <c r="F44" s="156">
        <v>1412</v>
      </c>
      <c r="G44" s="156">
        <v>1313</v>
      </c>
      <c r="H44" s="156">
        <v>1334</v>
      </c>
      <c r="I44" s="156">
        <v>1319</v>
      </c>
      <c r="J44" s="156">
        <v>1342</v>
      </c>
      <c r="K44" s="156">
        <v>1303</v>
      </c>
      <c r="L44" s="156">
        <v>1389</v>
      </c>
      <c r="M44" s="156">
        <v>1369</v>
      </c>
      <c r="N44" s="156">
        <v>1419</v>
      </c>
      <c r="O44" s="156">
        <v>1218</v>
      </c>
      <c r="P44" s="156">
        <v>928</v>
      </c>
      <c r="Q44" s="156">
        <v>793</v>
      </c>
      <c r="R44" s="156"/>
      <c r="S44" s="156"/>
      <c r="T44" s="156">
        <v>496</v>
      </c>
      <c r="U44" s="156">
        <v>17146</v>
      </c>
      <c r="W44" s="156">
        <v>17361</v>
      </c>
      <c r="X44" s="156">
        <v>-215</v>
      </c>
    </row>
    <row r="45" spans="1:24" ht="12.75">
      <c r="A45" s="76">
        <v>38</v>
      </c>
      <c r="B45" s="146" t="s">
        <v>519</v>
      </c>
      <c r="C45" s="160">
        <v>0</v>
      </c>
      <c r="D45" s="156">
        <v>3</v>
      </c>
      <c r="E45" s="156">
        <v>362</v>
      </c>
      <c r="F45" s="156">
        <v>370</v>
      </c>
      <c r="G45" s="156">
        <v>372</v>
      </c>
      <c r="H45" s="156">
        <v>372</v>
      </c>
      <c r="I45" s="156">
        <v>349</v>
      </c>
      <c r="J45" s="156">
        <v>338</v>
      </c>
      <c r="K45" s="156">
        <v>363</v>
      </c>
      <c r="L45" s="156">
        <v>346</v>
      </c>
      <c r="M45" s="156">
        <v>355</v>
      </c>
      <c r="N45" s="156">
        <v>442</v>
      </c>
      <c r="O45" s="156">
        <v>370</v>
      </c>
      <c r="P45" s="156">
        <v>303</v>
      </c>
      <c r="Q45" s="156">
        <v>250</v>
      </c>
      <c r="R45" s="156"/>
      <c r="S45" s="156"/>
      <c r="T45" s="156">
        <v>182</v>
      </c>
      <c r="U45" s="156">
        <v>4777</v>
      </c>
      <c r="W45" s="156">
        <v>4957</v>
      </c>
      <c r="X45" s="156">
        <v>-180</v>
      </c>
    </row>
    <row r="46" spans="1:24" ht="12.75">
      <c r="A46" s="76">
        <v>39</v>
      </c>
      <c r="B46" s="146" t="s">
        <v>520</v>
      </c>
      <c r="C46" s="160">
        <v>0</v>
      </c>
      <c r="D46" s="156">
        <v>24</v>
      </c>
      <c r="E46" s="156">
        <v>250</v>
      </c>
      <c r="F46" s="156">
        <v>279</v>
      </c>
      <c r="G46" s="156">
        <v>273</v>
      </c>
      <c r="H46" s="156">
        <v>257</v>
      </c>
      <c r="I46" s="156">
        <v>242</v>
      </c>
      <c r="J46" s="156">
        <v>271</v>
      </c>
      <c r="K46" s="156">
        <v>248</v>
      </c>
      <c r="L46" s="156">
        <v>283</v>
      </c>
      <c r="M46" s="156">
        <v>240</v>
      </c>
      <c r="N46" s="156">
        <v>304</v>
      </c>
      <c r="O46" s="156">
        <v>215</v>
      </c>
      <c r="P46" s="156">
        <v>208</v>
      </c>
      <c r="Q46" s="156">
        <v>207</v>
      </c>
      <c r="R46" s="156"/>
      <c r="S46" s="156"/>
      <c r="T46" s="156">
        <v>18</v>
      </c>
      <c r="U46" s="156">
        <v>3319</v>
      </c>
      <c r="W46" s="156">
        <v>3414</v>
      </c>
      <c r="X46" s="156">
        <v>-95</v>
      </c>
    </row>
    <row r="47" spans="1:24" ht="12.75">
      <c r="A47" s="115">
        <v>40</v>
      </c>
      <c r="B47" s="147" t="s">
        <v>521</v>
      </c>
      <c r="C47" s="161">
        <v>72</v>
      </c>
      <c r="D47" s="157">
        <v>152</v>
      </c>
      <c r="E47" s="157">
        <v>1887</v>
      </c>
      <c r="F47" s="157">
        <v>1883</v>
      </c>
      <c r="G47" s="157">
        <v>1730</v>
      </c>
      <c r="H47" s="157">
        <v>1700</v>
      </c>
      <c r="I47" s="157">
        <v>1638</v>
      </c>
      <c r="J47" s="157">
        <v>1555</v>
      </c>
      <c r="K47" s="157">
        <v>1536</v>
      </c>
      <c r="L47" s="157">
        <v>1788</v>
      </c>
      <c r="M47" s="157">
        <v>1686</v>
      </c>
      <c r="N47" s="157">
        <v>2108</v>
      </c>
      <c r="O47" s="157">
        <v>1894</v>
      </c>
      <c r="P47" s="157">
        <v>1558</v>
      </c>
      <c r="Q47" s="157">
        <v>1342</v>
      </c>
      <c r="R47" s="157"/>
      <c r="S47" s="157"/>
      <c r="T47" s="157">
        <v>1008</v>
      </c>
      <c r="U47" s="157">
        <v>23537</v>
      </c>
      <c r="V47" s="148"/>
      <c r="W47" s="157">
        <v>23561</v>
      </c>
      <c r="X47" s="157">
        <v>-24</v>
      </c>
    </row>
    <row r="48" spans="1:24" ht="12.75">
      <c r="A48" s="76">
        <v>41</v>
      </c>
      <c r="B48" s="146" t="s">
        <v>522</v>
      </c>
      <c r="C48" s="160">
        <v>0</v>
      </c>
      <c r="D48" s="156">
        <v>9</v>
      </c>
      <c r="E48" s="156">
        <v>138</v>
      </c>
      <c r="F48" s="156">
        <v>178</v>
      </c>
      <c r="G48" s="156">
        <v>140</v>
      </c>
      <c r="H48" s="156">
        <v>154</v>
      </c>
      <c r="I48" s="156">
        <v>136</v>
      </c>
      <c r="J48" s="156">
        <v>126</v>
      </c>
      <c r="K48" s="156">
        <v>145</v>
      </c>
      <c r="L48" s="156">
        <v>164</v>
      </c>
      <c r="M48" s="156">
        <v>175</v>
      </c>
      <c r="N48" s="156">
        <v>154</v>
      </c>
      <c r="O48" s="156">
        <v>133</v>
      </c>
      <c r="P48" s="156">
        <v>114</v>
      </c>
      <c r="Q48" s="156">
        <v>106</v>
      </c>
      <c r="R48" s="156"/>
      <c r="S48" s="156"/>
      <c r="T48" s="156">
        <v>0</v>
      </c>
      <c r="U48" s="156">
        <v>1872</v>
      </c>
      <c r="W48" s="156">
        <v>1960</v>
      </c>
      <c r="X48" s="156">
        <v>-88</v>
      </c>
    </row>
    <row r="49" spans="1:24" ht="12.75">
      <c r="A49" s="76">
        <v>42</v>
      </c>
      <c r="B49" s="146" t="s">
        <v>523</v>
      </c>
      <c r="C49" s="160">
        <v>9</v>
      </c>
      <c r="D49" s="156">
        <v>67</v>
      </c>
      <c r="E49" s="156">
        <v>272</v>
      </c>
      <c r="F49" s="156">
        <v>300</v>
      </c>
      <c r="G49" s="156">
        <v>309</v>
      </c>
      <c r="H49" s="156">
        <v>307</v>
      </c>
      <c r="I49" s="156">
        <v>293</v>
      </c>
      <c r="J49" s="156">
        <v>244</v>
      </c>
      <c r="K49" s="156">
        <v>266</v>
      </c>
      <c r="L49" s="156">
        <v>260</v>
      </c>
      <c r="M49" s="156">
        <v>250</v>
      </c>
      <c r="N49" s="156">
        <v>262</v>
      </c>
      <c r="O49" s="156">
        <v>204</v>
      </c>
      <c r="P49" s="156">
        <v>169</v>
      </c>
      <c r="Q49" s="156">
        <v>212</v>
      </c>
      <c r="R49" s="156"/>
      <c r="S49" s="156"/>
      <c r="T49" s="156">
        <v>383</v>
      </c>
      <c r="U49" s="156">
        <v>3807</v>
      </c>
      <c r="W49" s="156">
        <v>3873</v>
      </c>
      <c r="X49" s="156">
        <v>-66</v>
      </c>
    </row>
    <row r="50" spans="1:24" ht="12.75">
      <c r="A50" s="76">
        <v>43</v>
      </c>
      <c r="B50" s="146" t="s">
        <v>524</v>
      </c>
      <c r="C50" s="160">
        <v>18</v>
      </c>
      <c r="D50" s="156">
        <v>39</v>
      </c>
      <c r="E50" s="156">
        <v>293</v>
      </c>
      <c r="F50" s="156">
        <v>290</v>
      </c>
      <c r="G50" s="156">
        <v>340</v>
      </c>
      <c r="H50" s="156">
        <v>385</v>
      </c>
      <c r="I50" s="156">
        <v>330</v>
      </c>
      <c r="J50" s="156">
        <v>336</v>
      </c>
      <c r="K50" s="156">
        <v>333</v>
      </c>
      <c r="L50" s="156">
        <v>352</v>
      </c>
      <c r="M50" s="156">
        <v>354</v>
      </c>
      <c r="N50" s="156">
        <v>396</v>
      </c>
      <c r="O50" s="156">
        <v>318</v>
      </c>
      <c r="P50" s="156">
        <v>230</v>
      </c>
      <c r="Q50" s="156">
        <v>279</v>
      </c>
      <c r="R50" s="156"/>
      <c r="S50" s="156"/>
      <c r="T50" s="156">
        <v>69</v>
      </c>
      <c r="U50" s="156">
        <v>4362</v>
      </c>
      <c r="W50" s="156">
        <v>4438</v>
      </c>
      <c r="X50" s="156">
        <v>-76</v>
      </c>
    </row>
    <row r="51" spans="1:24" ht="12.75">
      <c r="A51" s="76">
        <v>44</v>
      </c>
      <c r="B51" s="146" t="s">
        <v>525</v>
      </c>
      <c r="C51" s="160">
        <v>0</v>
      </c>
      <c r="D51" s="156">
        <v>64</v>
      </c>
      <c r="E51" s="156">
        <v>551</v>
      </c>
      <c r="F51" s="156">
        <v>697</v>
      </c>
      <c r="G51" s="156">
        <v>638</v>
      </c>
      <c r="H51" s="156">
        <v>689</v>
      </c>
      <c r="I51" s="156">
        <v>702</v>
      </c>
      <c r="J51" s="156">
        <v>690</v>
      </c>
      <c r="K51" s="156">
        <v>712</v>
      </c>
      <c r="L51" s="156">
        <v>720</v>
      </c>
      <c r="M51" s="156">
        <v>624</v>
      </c>
      <c r="N51" s="156">
        <v>751</v>
      </c>
      <c r="O51" s="156">
        <v>591</v>
      </c>
      <c r="P51" s="156">
        <v>580</v>
      </c>
      <c r="Q51" s="156">
        <v>577</v>
      </c>
      <c r="R51" s="156"/>
      <c r="S51" s="156"/>
      <c r="T51" s="156">
        <v>59</v>
      </c>
      <c r="U51" s="156">
        <v>8645</v>
      </c>
      <c r="W51" s="156">
        <v>8871</v>
      </c>
      <c r="X51" s="156">
        <v>-226</v>
      </c>
    </row>
    <row r="52" spans="1:24" ht="12.75">
      <c r="A52" s="115">
        <v>45</v>
      </c>
      <c r="B52" s="147" t="s">
        <v>526</v>
      </c>
      <c r="C52" s="161">
        <v>32</v>
      </c>
      <c r="D52" s="157">
        <v>58</v>
      </c>
      <c r="E52" s="157">
        <v>838</v>
      </c>
      <c r="F52" s="157">
        <v>743</v>
      </c>
      <c r="G52" s="157">
        <v>696</v>
      </c>
      <c r="H52" s="157">
        <v>774</v>
      </c>
      <c r="I52" s="157">
        <v>747</v>
      </c>
      <c r="J52" s="157">
        <v>694</v>
      </c>
      <c r="K52" s="157">
        <v>714</v>
      </c>
      <c r="L52" s="157">
        <v>779</v>
      </c>
      <c r="M52" s="157">
        <v>741</v>
      </c>
      <c r="N52" s="157">
        <v>952</v>
      </c>
      <c r="O52" s="157">
        <v>689</v>
      </c>
      <c r="P52" s="157">
        <v>671</v>
      </c>
      <c r="Q52" s="157">
        <v>615</v>
      </c>
      <c r="R52" s="157"/>
      <c r="S52" s="157"/>
      <c r="T52" s="157">
        <v>12</v>
      </c>
      <c r="U52" s="157">
        <v>9755</v>
      </c>
      <c r="V52" s="148"/>
      <c r="W52" s="157">
        <v>9914</v>
      </c>
      <c r="X52" s="157">
        <v>-159</v>
      </c>
    </row>
    <row r="53" spans="1:24" ht="12.75">
      <c r="A53" s="76">
        <v>46</v>
      </c>
      <c r="B53" s="146" t="s">
        <v>527</v>
      </c>
      <c r="C53" s="160">
        <v>0</v>
      </c>
      <c r="D53" s="156">
        <v>7</v>
      </c>
      <c r="E53" s="156">
        <v>129</v>
      </c>
      <c r="F53" s="156">
        <v>120</v>
      </c>
      <c r="G53" s="156">
        <v>106</v>
      </c>
      <c r="H53" s="156">
        <v>134</v>
      </c>
      <c r="I53" s="156">
        <v>109</v>
      </c>
      <c r="J53" s="156">
        <v>107</v>
      </c>
      <c r="K53" s="156">
        <v>121</v>
      </c>
      <c r="L53" s="156">
        <v>139</v>
      </c>
      <c r="M53" s="156">
        <v>117</v>
      </c>
      <c r="N53" s="156">
        <v>145</v>
      </c>
      <c r="O53" s="156">
        <v>71</v>
      </c>
      <c r="P53" s="156">
        <v>93</v>
      </c>
      <c r="Q53" s="156">
        <v>82</v>
      </c>
      <c r="R53" s="156"/>
      <c r="S53" s="156"/>
      <c r="T53" s="156">
        <v>5</v>
      </c>
      <c r="U53" s="156">
        <v>1485</v>
      </c>
      <c r="W53" s="156">
        <v>1461</v>
      </c>
      <c r="X53" s="156">
        <v>24</v>
      </c>
    </row>
    <row r="54" spans="1:24" ht="12.75">
      <c r="A54" s="76">
        <v>47</v>
      </c>
      <c r="B54" s="146" t="s">
        <v>528</v>
      </c>
      <c r="C54" s="160">
        <v>24</v>
      </c>
      <c r="D54" s="156">
        <v>42</v>
      </c>
      <c r="E54" s="156">
        <v>286</v>
      </c>
      <c r="F54" s="156">
        <v>353</v>
      </c>
      <c r="G54" s="156">
        <v>296</v>
      </c>
      <c r="H54" s="156">
        <v>300</v>
      </c>
      <c r="I54" s="156">
        <v>301</v>
      </c>
      <c r="J54" s="156">
        <v>310</v>
      </c>
      <c r="K54" s="156">
        <v>296</v>
      </c>
      <c r="L54" s="156">
        <v>299</v>
      </c>
      <c r="M54" s="156">
        <v>268</v>
      </c>
      <c r="N54" s="156">
        <v>357</v>
      </c>
      <c r="O54" s="156">
        <v>304</v>
      </c>
      <c r="P54" s="156">
        <v>260</v>
      </c>
      <c r="Q54" s="156">
        <v>279</v>
      </c>
      <c r="R54" s="156"/>
      <c r="S54" s="156"/>
      <c r="T54" s="156">
        <v>17</v>
      </c>
      <c r="U54" s="156">
        <v>3992</v>
      </c>
      <c r="W54" s="156">
        <v>4185</v>
      </c>
      <c r="X54" s="156">
        <v>-193</v>
      </c>
    </row>
    <row r="55" spans="1:24" ht="12.75">
      <c r="A55" s="76">
        <v>48</v>
      </c>
      <c r="B55" s="146" t="s">
        <v>529</v>
      </c>
      <c r="C55" s="160">
        <v>54</v>
      </c>
      <c r="D55" s="156">
        <v>28</v>
      </c>
      <c r="E55" s="156">
        <v>508</v>
      </c>
      <c r="F55" s="156">
        <v>523</v>
      </c>
      <c r="G55" s="156">
        <v>505</v>
      </c>
      <c r="H55" s="156">
        <v>552</v>
      </c>
      <c r="I55" s="156">
        <v>538</v>
      </c>
      <c r="J55" s="156">
        <v>533</v>
      </c>
      <c r="K55" s="156">
        <v>481</v>
      </c>
      <c r="L55" s="156">
        <v>516</v>
      </c>
      <c r="M55" s="156">
        <v>449</v>
      </c>
      <c r="N55" s="156">
        <v>563</v>
      </c>
      <c r="O55" s="156">
        <v>493</v>
      </c>
      <c r="P55" s="156">
        <v>318</v>
      </c>
      <c r="Q55" s="156">
        <v>353</v>
      </c>
      <c r="R55" s="156"/>
      <c r="S55" s="156"/>
      <c r="T55" s="156">
        <v>0</v>
      </c>
      <c r="U55" s="156">
        <v>6414</v>
      </c>
      <c r="W55" s="156">
        <v>6478</v>
      </c>
      <c r="X55" s="156">
        <v>-64</v>
      </c>
    </row>
    <row r="56" spans="1:24" ht="12.75">
      <c r="A56" s="76">
        <v>49</v>
      </c>
      <c r="B56" s="146" t="s">
        <v>530</v>
      </c>
      <c r="C56" s="160">
        <v>63</v>
      </c>
      <c r="D56" s="156">
        <v>167</v>
      </c>
      <c r="E56" s="156">
        <v>1272</v>
      </c>
      <c r="F56" s="156">
        <v>1256</v>
      </c>
      <c r="G56" s="156">
        <v>1245</v>
      </c>
      <c r="H56" s="156">
        <v>1237</v>
      </c>
      <c r="I56" s="156">
        <v>1195</v>
      </c>
      <c r="J56" s="156">
        <v>1249</v>
      </c>
      <c r="K56" s="156">
        <v>1198</v>
      </c>
      <c r="L56" s="156">
        <v>1240</v>
      </c>
      <c r="M56" s="156">
        <v>1020</v>
      </c>
      <c r="N56" s="156">
        <v>1324</v>
      </c>
      <c r="O56" s="156">
        <v>1052</v>
      </c>
      <c r="P56" s="156">
        <v>899</v>
      </c>
      <c r="Q56" s="156">
        <v>882</v>
      </c>
      <c r="R56" s="156"/>
      <c r="S56" s="156"/>
      <c r="T56" s="156">
        <v>447</v>
      </c>
      <c r="U56" s="156">
        <v>15746</v>
      </c>
      <c r="W56" s="156">
        <v>16016</v>
      </c>
      <c r="X56" s="156">
        <v>-270</v>
      </c>
    </row>
    <row r="57" spans="1:24" ht="12.75">
      <c r="A57" s="115">
        <v>50</v>
      </c>
      <c r="B57" s="147" t="s">
        <v>531</v>
      </c>
      <c r="C57" s="161">
        <v>38</v>
      </c>
      <c r="D57" s="157">
        <v>67</v>
      </c>
      <c r="E57" s="157">
        <v>637</v>
      </c>
      <c r="F57" s="157">
        <v>639</v>
      </c>
      <c r="G57" s="157">
        <v>692</v>
      </c>
      <c r="H57" s="157">
        <v>661</v>
      </c>
      <c r="I57" s="157">
        <v>672</v>
      </c>
      <c r="J57" s="157">
        <v>680</v>
      </c>
      <c r="K57" s="157">
        <v>655</v>
      </c>
      <c r="L57" s="157">
        <v>656</v>
      </c>
      <c r="M57" s="157">
        <v>595</v>
      </c>
      <c r="N57" s="157">
        <v>793</v>
      </c>
      <c r="O57" s="157">
        <v>569</v>
      </c>
      <c r="P57" s="157">
        <v>507</v>
      </c>
      <c r="Q57" s="157">
        <v>422</v>
      </c>
      <c r="R57" s="157"/>
      <c r="S57" s="157"/>
      <c r="T57" s="157">
        <v>276</v>
      </c>
      <c r="U57" s="157">
        <v>8559</v>
      </c>
      <c r="V57" s="148"/>
      <c r="W57" s="157">
        <v>8617</v>
      </c>
      <c r="X57" s="157">
        <v>-58</v>
      </c>
    </row>
    <row r="58" spans="1:24" ht="12.75">
      <c r="A58" s="76">
        <v>51</v>
      </c>
      <c r="B58" s="146" t="s">
        <v>532</v>
      </c>
      <c r="C58" s="160">
        <v>37</v>
      </c>
      <c r="D58" s="156">
        <v>59</v>
      </c>
      <c r="E58" s="156">
        <v>779</v>
      </c>
      <c r="F58" s="156">
        <v>930</v>
      </c>
      <c r="G58" s="156">
        <v>851</v>
      </c>
      <c r="H58" s="156">
        <v>880</v>
      </c>
      <c r="I58" s="156">
        <v>836</v>
      </c>
      <c r="J58" s="156">
        <v>862</v>
      </c>
      <c r="K58" s="156">
        <v>823</v>
      </c>
      <c r="L58" s="156">
        <v>913</v>
      </c>
      <c r="M58" s="156">
        <v>806</v>
      </c>
      <c r="N58" s="156">
        <v>985</v>
      </c>
      <c r="O58" s="156">
        <v>777</v>
      </c>
      <c r="P58" s="156">
        <v>676</v>
      </c>
      <c r="Q58" s="156">
        <v>626</v>
      </c>
      <c r="R58" s="156"/>
      <c r="S58" s="156"/>
      <c r="T58" s="156">
        <v>0</v>
      </c>
      <c r="U58" s="156">
        <v>10840</v>
      </c>
      <c r="W58" s="156">
        <v>11083</v>
      </c>
      <c r="X58" s="156">
        <v>-243</v>
      </c>
    </row>
    <row r="59" spans="1:24" ht="12.75">
      <c r="A59" s="76">
        <v>52</v>
      </c>
      <c r="B59" s="146" t="s">
        <v>533</v>
      </c>
      <c r="C59" s="160">
        <v>0</v>
      </c>
      <c r="D59" s="156">
        <v>234</v>
      </c>
      <c r="E59" s="156">
        <v>2115</v>
      </c>
      <c r="F59" s="156">
        <v>2734</v>
      </c>
      <c r="G59" s="156">
        <v>2362</v>
      </c>
      <c r="H59" s="156">
        <v>2405</v>
      </c>
      <c r="I59" s="156">
        <v>2550</v>
      </c>
      <c r="J59" s="156">
        <v>2479</v>
      </c>
      <c r="K59" s="156">
        <v>2626</v>
      </c>
      <c r="L59" s="156">
        <v>2639</v>
      </c>
      <c r="M59" s="156">
        <v>2620</v>
      </c>
      <c r="N59" s="156">
        <v>2962</v>
      </c>
      <c r="O59" s="156">
        <v>2385</v>
      </c>
      <c r="P59" s="156">
        <v>2146</v>
      </c>
      <c r="Q59" s="156">
        <v>2055</v>
      </c>
      <c r="R59" s="156"/>
      <c r="S59" s="156"/>
      <c r="T59" s="156">
        <v>0</v>
      </c>
      <c r="U59" s="156">
        <v>32312</v>
      </c>
      <c r="W59" s="156">
        <v>32338</v>
      </c>
      <c r="X59" s="156">
        <v>-26</v>
      </c>
    </row>
    <row r="60" spans="1:24" ht="12.75">
      <c r="A60" s="76">
        <v>53</v>
      </c>
      <c r="B60" s="146" t="s">
        <v>534</v>
      </c>
      <c r="C60" s="160">
        <v>0</v>
      </c>
      <c r="D60" s="156">
        <v>134</v>
      </c>
      <c r="E60" s="156">
        <v>1364</v>
      </c>
      <c r="F60" s="156">
        <v>1553</v>
      </c>
      <c r="G60" s="156">
        <v>1459</v>
      </c>
      <c r="H60" s="156">
        <v>1399</v>
      </c>
      <c r="I60" s="156">
        <v>1421</v>
      </c>
      <c r="J60" s="156">
        <v>1306</v>
      </c>
      <c r="K60" s="156">
        <v>1302</v>
      </c>
      <c r="L60" s="156">
        <v>1444</v>
      </c>
      <c r="M60" s="156">
        <v>1327</v>
      </c>
      <c r="N60" s="156">
        <v>1682</v>
      </c>
      <c r="O60" s="156">
        <v>1473</v>
      </c>
      <c r="P60" s="156">
        <v>1150</v>
      </c>
      <c r="Q60" s="156">
        <v>1108</v>
      </c>
      <c r="R60" s="156"/>
      <c r="S60" s="156"/>
      <c r="T60" s="156">
        <v>435</v>
      </c>
      <c r="U60" s="156">
        <v>18557</v>
      </c>
      <c r="W60" s="156">
        <v>18649</v>
      </c>
      <c r="X60" s="156">
        <v>-92</v>
      </c>
    </row>
    <row r="61" spans="1:24" ht="12.75">
      <c r="A61" s="76">
        <v>54</v>
      </c>
      <c r="B61" s="146" t="s">
        <v>535</v>
      </c>
      <c r="C61" s="160">
        <v>0</v>
      </c>
      <c r="D61" s="156">
        <v>13</v>
      </c>
      <c r="E61" s="156">
        <v>66</v>
      </c>
      <c r="F61" s="156">
        <v>64</v>
      </c>
      <c r="G61" s="156">
        <v>71</v>
      </c>
      <c r="H61" s="156">
        <v>64</v>
      </c>
      <c r="I61" s="156">
        <v>71</v>
      </c>
      <c r="J61" s="156">
        <v>86</v>
      </c>
      <c r="K61" s="156">
        <v>66</v>
      </c>
      <c r="L61" s="156">
        <v>101</v>
      </c>
      <c r="M61" s="156">
        <v>71</v>
      </c>
      <c r="N61" s="156">
        <v>81</v>
      </c>
      <c r="O61" s="156">
        <v>78</v>
      </c>
      <c r="P61" s="156">
        <v>66</v>
      </c>
      <c r="Q61" s="156">
        <v>65</v>
      </c>
      <c r="R61" s="156"/>
      <c r="S61" s="156"/>
      <c r="T61" s="156">
        <v>190</v>
      </c>
      <c r="U61" s="156">
        <v>1153</v>
      </c>
      <c r="W61" s="156">
        <v>1215</v>
      </c>
      <c r="X61" s="156">
        <v>-62</v>
      </c>
    </row>
    <row r="62" spans="1:24" ht="12.75">
      <c r="A62" s="115">
        <v>55</v>
      </c>
      <c r="B62" s="147" t="s">
        <v>536</v>
      </c>
      <c r="C62" s="161">
        <v>44</v>
      </c>
      <c r="D62" s="157">
        <v>145</v>
      </c>
      <c r="E62" s="157">
        <v>1512</v>
      </c>
      <c r="F62" s="157">
        <v>1713</v>
      </c>
      <c r="G62" s="157">
        <v>1472</v>
      </c>
      <c r="H62" s="157">
        <v>1615</v>
      </c>
      <c r="I62" s="157">
        <v>1540</v>
      </c>
      <c r="J62" s="157">
        <v>1515</v>
      </c>
      <c r="K62" s="157">
        <v>1532</v>
      </c>
      <c r="L62" s="157">
        <v>1624</v>
      </c>
      <c r="M62" s="157">
        <v>1645</v>
      </c>
      <c r="N62" s="157">
        <v>1618</v>
      </c>
      <c r="O62" s="157">
        <v>1389</v>
      </c>
      <c r="P62" s="157">
        <v>1321</v>
      </c>
      <c r="Q62" s="157">
        <v>1162</v>
      </c>
      <c r="R62" s="157"/>
      <c r="S62" s="157"/>
      <c r="T62" s="157">
        <v>112</v>
      </c>
      <c r="U62" s="157">
        <v>19959</v>
      </c>
      <c r="V62" s="148"/>
      <c r="W62" s="157">
        <v>20360</v>
      </c>
      <c r="X62" s="157">
        <v>-401</v>
      </c>
    </row>
    <row r="63" spans="1:24" ht="12.75">
      <c r="A63" s="76">
        <v>56</v>
      </c>
      <c r="B63" s="146" t="s">
        <v>537</v>
      </c>
      <c r="C63" s="160">
        <v>0</v>
      </c>
      <c r="D63" s="156">
        <v>31</v>
      </c>
      <c r="E63" s="156">
        <v>300</v>
      </c>
      <c r="F63" s="156">
        <v>329</v>
      </c>
      <c r="G63" s="156">
        <v>303</v>
      </c>
      <c r="H63" s="156">
        <v>277</v>
      </c>
      <c r="I63" s="156">
        <v>314</v>
      </c>
      <c r="J63" s="156">
        <v>269</v>
      </c>
      <c r="K63" s="156">
        <v>263</v>
      </c>
      <c r="L63" s="156">
        <v>309</v>
      </c>
      <c r="M63" s="156">
        <v>255</v>
      </c>
      <c r="N63" s="156">
        <v>252</v>
      </c>
      <c r="O63" s="156">
        <v>252</v>
      </c>
      <c r="P63" s="156">
        <v>235</v>
      </c>
      <c r="Q63" s="156">
        <v>229</v>
      </c>
      <c r="R63" s="156"/>
      <c r="S63" s="156"/>
      <c r="T63" s="156">
        <v>77</v>
      </c>
      <c r="U63" s="156">
        <v>3695</v>
      </c>
      <c r="W63" s="156">
        <v>3697</v>
      </c>
      <c r="X63" s="156">
        <v>-2</v>
      </c>
    </row>
    <row r="64" spans="1:24" ht="12.75">
      <c r="A64" s="76">
        <v>57</v>
      </c>
      <c r="B64" s="146" t="s">
        <v>538</v>
      </c>
      <c r="C64" s="160">
        <v>54</v>
      </c>
      <c r="D64" s="156">
        <v>102</v>
      </c>
      <c r="E64" s="156">
        <v>649</v>
      </c>
      <c r="F64" s="156">
        <v>706</v>
      </c>
      <c r="G64" s="156">
        <v>663</v>
      </c>
      <c r="H64" s="156">
        <v>719</v>
      </c>
      <c r="I64" s="156">
        <v>740</v>
      </c>
      <c r="J64" s="156">
        <v>681</v>
      </c>
      <c r="K64" s="156">
        <v>714</v>
      </c>
      <c r="L64" s="156">
        <v>735</v>
      </c>
      <c r="M64" s="156">
        <v>714</v>
      </c>
      <c r="N64" s="156">
        <v>736</v>
      </c>
      <c r="O64" s="156">
        <v>596</v>
      </c>
      <c r="P64" s="156">
        <v>639</v>
      </c>
      <c r="Q64" s="156">
        <v>599</v>
      </c>
      <c r="R64" s="156"/>
      <c r="S64" s="156"/>
      <c r="T64" s="156">
        <v>169</v>
      </c>
      <c r="U64" s="156">
        <v>9216</v>
      </c>
      <c r="W64" s="156">
        <v>9377</v>
      </c>
      <c r="X64" s="156">
        <v>-161</v>
      </c>
    </row>
    <row r="65" spans="1:24" ht="12.75">
      <c r="A65" s="76">
        <v>58</v>
      </c>
      <c r="B65" s="146" t="s">
        <v>539</v>
      </c>
      <c r="C65" s="160">
        <v>48</v>
      </c>
      <c r="D65" s="156">
        <v>130</v>
      </c>
      <c r="E65" s="156">
        <v>947</v>
      </c>
      <c r="F65" s="156">
        <v>947</v>
      </c>
      <c r="G65" s="156">
        <v>833</v>
      </c>
      <c r="H65" s="156">
        <v>851</v>
      </c>
      <c r="I65" s="156">
        <v>852</v>
      </c>
      <c r="J65" s="156">
        <v>780</v>
      </c>
      <c r="K65" s="156">
        <v>793</v>
      </c>
      <c r="L65" s="156">
        <v>780</v>
      </c>
      <c r="M65" s="156">
        <v>682</v>
      </c>
      <c r="N65" s="156">
        <v>694</v>
      </c>
      <c r="O65" s="156">
        <v>608</v>
      </c>
      <c r="P65" s="156">
        <v>549</v>
      </c>
      <c r="Q65" s="156">
        <v>520</v>
      </c>
      <c r="R65" s="156"/>
      <c r="S65" s="156"/>
      <c r="T65" s="156">
        <v>15</v>
      </c>
      <c r="U65" s="156">
        <v>10029</v>
      </c>
      <c r="W65" s="156">
        <v>10305</v>
      </c>
      <c r="X65" s="156">
        <v>-276</v>
      </c>
    </row>
    <row r="66" spans="1:24" ht="12.75">
      <c r="A66" s="76">
        <v>59</v>
      </c>
      <c r="B66" s="146" t="s">
        <v>540</v>
      </c>
      <c r="C66" s="160">
        <v>0</v>
      </c>
      <c r="D66" s="156">
        <v>59</v>
      </c>
      <c r="E66" s="156">
        <v>358</v>
      </c>
      <c r="F66" s="156">
        <v>360</v>
      </c>
      <c r="G66" s="156">
        <v>334</v>
      </c>
      <c r="H66" s="156">
        <v>315</v>
      </c>
      <c r="I66" s="156">
        <v>343</v>
      </c>
      <c r="J66" s="156">
        <v>299</v>
      </c>
      <c r="K66" s="156">
        <v>311</v>
      </c>
      <c r="L66" s="156">
        <v>294</v>
      </c>
      <c r="M66" s="156">
        <v>330</v>
      </c>
      <c r="N66" s="156">
        <v>350</v>
      </c>
      <c r="O66" s="156">
        <v>315</v>
      </c>
      <c r="P66" s="156">
        <v>290</v>
      </c>
      <c r="Q66" s="156">
        <v>245</v>
      </c>
      <c r="R66" s="156"/>
      <c r="S66" s="156"/>
      <c r="T66" s="156">
        <v>367</v>
      </c>
      <c r="U66" s="156">
        <v>4570</v>
      </c>
      <c r="W66" s="156">
        <v>4578</v>
      </c>
      <c r="X66" s="156">
        <v>-8</v>
      </c>
    </row>
    <row r="67" spans="1:24" ht="12.75">
      <c r="A67" s="115">
        <v>60</v>
      </c>
      <c r="B67" s="147" t="s">
        <v>541</v>
      </c>
      <c r="C67" s="161">
        <v>0</v>
      </c>
      <c r="D67" s="157">
        <v>40</v>
      </c>
      <c r="E67" s="157">
        <v>600</v>
      </c>
      <c r="F67" s="157">
        <v>567</v>
      </c>
      <c r="G67" s="157">
        <v>556</v>
      </c>
      <c r="H67" s="157">
        <v>538</v>
      </c>
      <c r="I67" s="157">
        <v>559</v>
      </c>
      <c r="J67" s="157">
        <v>616</v>
      </c>
      <c r="K67" s="157">
        <v>565</v>
      </c>
      <c r="L67" s="157">
        <v>597</v>
      </c>
      <c r="M67" s="157">
        <v>574</v>
      </c>
      <c r="N67" s="157">
        <v>687</v>
      </c>
      <c r="O67" s="157">
        <v>572</v>
      </c>
      <c r="P67" s="157">
        <v>461</v>
      </c>
      <c r="Q67" s="157">
        <v>467</v>
      </c>
      <c r="R67" s="157"/>
      <c r="S67" s="157"/>
      <c r="T67" s="157">
        <v>365</v>
      </c>
      <c r="U67" s="157">
        <v>7764</v>
      </c>
      <c r="V67" s="148"/>
      <c r="W67" s="157">
        <v>7953</v>
      </c>
      <c r="X67" s="157">
        <v>-189</v>
      </c>
    </row>
    <row r="68" spans="1:24" ht="12.75">
      <c r="A68" s="76">
        <v>61</v>
      </c>
      <c r="B68" s="146" t="s">
        <v>542</v>
      </c>
      <c r="C68" s="160">
        <v>0</v>
      </c>
      <c r="D68" s="156">
        <v>0</v>
      </c>
      <c r="E68" s="156">
        <v>294</v>
      </c>
      <c r="F68" s="156">
        <v>286</v>
      </c>
      <c r="G68" s="156">
        <v>271</v>
      </c>
      <c r="H68" s="156">
        <v>270</v>
      </c>
      <c r="I68" s="156">
        <v>309</v>
      </c>
      <c r="J68" s="156">
        <v>320</v>
      </c>
      <c r="K68" s="156">
        <v>300</v>
      </c>
      <c r="L68" s="156">
        <v>274</v>
      </c>
      <c r="M68" s="156">
        <v>272</v>
      </c>
      <c r="N68" s="156">
        <v>316</v>
      </c>
      <c r="O68" s="156">
        <v>323</v>
      </c>
      <c r="P68" s="156">
        <v>271</v>
      </c>
      <c r="Q68" s="156">
        <v>250</v>
      </c>
      <c r="R68" s="156"/>
      <c r="S68" s="156"/>
      <c r="T68" s="156">
        <v>64</v>
      </c>
      <c r="U68" s="156">
        <v>3820</v>
      </c>
      <c r="W68" s="156">
        <v>3918</v>
      </c>
      <c r="X68" s="156">
        <v>-98</v>
      </c>
    </row>
    <row r="69" spans="1:24" ht="12.75">
      <c r="A69" s="76">
        <v>62</v>
      </c>
      <c r="B69" s="146" t="s">
        <v>543</v>
      </c>
      <c r="C69" s="160">
        <v>15</v>
      </c>
      <c r="D69" s="156">
        <v>29</v>
      </c>
      <c r="E69" s="156">
        <v>165</v>
      </c>
      <c r="F69" s="156">
        <v>226</v>
      </c>
      <c r="G69" s="156">
        <v>201</v>
      </c>
      <c r="H69" s="156">
        <v>203</v>
      </c>
      <c r="I69" s="156">
        <v>195</v>
      </c>
      <c r="J69" s="156">
        <v>194</v>
      </c>
      <c r="K69" s="156">
        <v>209</v>
      </c>
      <c r="L69" s="156">
        <v>197</v>
      </c>
      <c r="M69" s="156">
        <v>200</v>
      </c>
      <c r="N69" s="156">
        <v>201</v>
      </c>
      <c r="O69" s="156">
        <v>192</v>
      </c>
      <c r="P69" s="156">
        <v>150</v>
      </c>
      <c r="Q69" s="156">
        <v>185</v>
      </c>
      <c r="R69" s="156"/>
      <c r="S69" s="156"/>
      <c r="T69" s="156">
        <v>28</v>
      </c>
      <c r="U69" s="156">
        <v>2590</v>
      </c>
      <c r="W69" s="156">
        <v>2604</v>
      </c>
      <c r="X69" s="156">
        <v>-14</v>
      </c>
    </row>
    <row r="70" spans="1:24" ht="12.75">
      <c r="A70" s="76">
        <v>63</v>
      </c>
      <c r="B70" s="146" t="s">
        <v>544</v>
      </c>
      <c r="C70" s="160">
        <v>0</v>
      </c>
      <c r="D70" s="156">
        <v>14</v>
      </c>
      <c r="E70" s="156">
        <v>166</v>
      </c>
      <c r="F70" s="156">
        <v>213</v>
      </c>
      <c r="G70" s="156">
        <v>166</v>
      </c>
      <c r="H70" s="156">
        <v>159</v>
      </c>
      <c r="I70" s="156">
        <v>180</v>
      </c>
      <c r="J70" s="156">
        <v>184</v>
      </c>
      <c r="K70" s="156">
        <v>165</v>
      </c>
      <c r="L70" s="156">
        <v>177</v>
      </c>
      <c r="M70" s="156">
        <v>186</v>
      </c>
      <c r="N70" s="156">
        <v>176</v>
      </c>
      <c r="O70" s="156">
        <v>164</v>
      </c>
      <c r="P70" s="156">
        <v>139</v>
      </c>
      <c r="Q70" s="156">
        <v>131</v>
      </c>
      <c r="R70" s="156"/>
      <c r="S70" s="156"/>
      <c r="T70" s="156">
        <v>4</v>
      </c>
      <c r="U70" s="156">
        <v>2224</v>
      </c>
      <c r="W70" s="156">
        <v>2205</v>
      </c>
      <c r="X70" s="156">
        <v>19</v>
      </c>
    </row>
    <row r="71" spans="1:24" ht="12.75">
      <c r="A71" s="76">
        <v>64</v>
      </c>
      <c r="B71" s="146" t="s">
        <v>545</v>
      </c>
      <c r="C71" s="160">
        <v>11</v>
      </c>
      <c r="D71" s="156">
        <v>18</v>
      </c>
      <c r="E71" s="156">
        <v>260</v>
      </c>
      <c r="F71" s="156">
        <v>227</v>
      </c>
      <c r="G71" s="156">
        <v>219</v>
      </c>
      <c r="H71" s="156">
        <v>219</v>
      </c>
      <c r="I71" s="156">
        <v>230</v>
      </c>
      <c r="J71" s="156">
        <v>203</v>
      </c>
      <c r="K71" s="156">
        <v>235</v>
      </c>
      <c r="L71" s="156">
        <v>270</v>
      </c>
      <c r="M71" s="156">
        <v>222</v>
      </c>
      <c r="N71" s="156">
        <v>234</v>
      </c>
      <c r="O71" s="156">
        <v>208</v>
      </c>
      <c r="P71" s="156">
        <v>166</v>
      </c>
      <c r="Q71" s="156">
        <v>163</v>
      </c>
      <c r="R71" s="156"/>
      <c r="S71" s="156"/>
      <c r="T71" s="156">
        <v>53</v>
      </c>
      <c r="U71" s="156">
        <v>2938</v>
      </c>
      <c r="W71" s="156">
        <v>3063</v>
      </c>
      <c r="X71" s="156">
        <v>-125</v>
      </c>
    </row>
    <row r="72" spans="1:24" ht="12.75">
      <c r="A72" s="76">
        <v>65</v>
      </c>
      <c r="B72" s="146" t="s">
        <v>282</v>
      </c>
      <c r="C72" s="160">
        <v>34</v>
      </c>
      <c r="D72" s="156">
        <v>70</v>
      </c>
      <c r="E72" s="156">
        <v>915</v>
      </c>
      <c r="F72" s="156">
        <v>871</v>
      </c>
      <c r="G72" s="156">
        <v>857</v>
      </c>
      <c r="H72" s="156">
        <v>835</v>
      </c>
      <c r="I72" s="156">
        <v>846</v>
      </c>
      <c r="J72" s="156">
        <v>801</v>
      </c>
      <c r="K72" s="156">
        <v>790</v>
      </c>
      <c r="L72" s="156">
        <v>887</v>
      </c>
      <c r="M72" s="156">
        <v>715</v>
      </c>
      <c r="N72" s="156">
        <v>891</v>
      </c>
      <c r="O72" s="156">
        <v>648</v>
      </c>
      <c r="P72" s="156">
        <v>528</v>
      </c>
      <c r="Q72" s="156">
        <v>500</v>
      </c>
      <c r="R72" s="156"/>
      <c r="S72" s="156"/>
      <c r="T72" s="156">
        <v>0</v>
      </c>
      <c r="U72" s="156">
        <v>10188</v>
      </c>
      <c r="W72" s="156">
        <v>10250</v>
      </c>
      <c r="X72" s="156">
        <v>-62</v>
      </c>
    </row>
    <row r="73" spans="1:24" ht="12.75">
      <c r="A73" s="76">
        <v>66</v>
      </c>
      <c r="B73" s="146" t="s">
        <v>283</v>
      </c>
      <c r="C73" s="160">
        <v>0</v>
      </c>
      <c r="D73" s="156">
        <v>47</v>
      </c>
      <c r="E73" s="156">
        <v>288</v>
      </c>
      <c r="F73" s="156">
        <v>245</v>
      </c>
      <c r="G73" s="156">
        <v>255</v>
      </c>
      <c r="H73" s="156">
        <v>219</v>
      </c>
      <c r="I73" s="156">
        <v>204</v>
      </c>
      <c r="J73" s="156">
        <v>202</v>
      </c>
      <c r="K73" s="156">
        <v>203</v>
      </c>
      <c r="L73" s="156">
        <v>248</v>
      </c>
      <c r="M73" s="156">
        <v>226</v>
      </c>
      <c r="N73" s="156">
        <v>239</v>
      </c>
      <c r="O73" s="156">
        <v>179</v>
      </c>
      <c r="P73" s="156">
        <v>193</v>
      </c>
      <c r="Q73" s="156">
        <v>162</v>
      </c>
      <c r="R73" s="156"/>
      <c r="S73" s="156"/>
      <c r="T73" s="156">
        <v>180</v>
      </c>
      <c r="U73" s="156">
        <v>3090</v>
      </c>
      <c r="W73" s="156">
        <v>3247</v>
      </c>
      <c r="X73" s="156">
        <v>-157</v>
      </c>
    </row>
    <row r="74" spans="1:24" ht="13.5" thickBot="1">
      <c r="A74" s="158"/>
      <c r="B74" s="158" t="s">
        <v>546</v>
      </c>
      <c r="C74" s="140">
        <f aca="true" t="shared" si="0" ref="C74:Q74">SUM(C8:C73)</f>
        <v>1098</v>
      </c>
      <c r="D74" s="140">
        <f t="shared" si="0"/>
        <v>4908</v>
      </c>
      <c r="E74" s="140">
        <f t="shared" si="0"/>
        <v>55807</v>
      </c>
      <c r="F74" s="140">
        <f t="shared" si="0"/>
        <v>62885</v>
      </c>
      <c r="G74" s="140">
        <f t="shared" si="0"/>
        <v>58273</v>
      </c>
      <c r="H74" s="140">
        <f t="shared" si="0"/>
        <v>58499</v>
      </c>
      <c r="I74" s="140">
        <f t="shared" si="0"/>
        <v>57510</v>
      </c>
      <c r="J74" s="140">
        <f t="shared" si="0"/>
        <v>56073</v>
      </c>
      <c r="K74" s="140">
        <f t="shared" si="0"/>
        <v>57711</v>
      </c>
      <c r="L74" s="140">
        <f t="shared" si="0"/>
        <v>58713</v>
      </c>
      <c r="M74" s="140">
        <f t="shared" si="0"/>
        <v>55496</v>
      </c>
      <c r="N74" s="140">
        <f t="shared" si="0"/>
        <v>63240</v>
      </c>
      <c r="O74" s="140">
        <f t="shared" si="0"/>
        <v>52690</v>
      </c>
      <c r="P74" s="140">
        <f t="shared" si="0"/>
        <v>45711</v>
      </c>
      <c r="Q74" s="140">
        <f t="shared" si="0"/>
        <v>42005</v>
      </c>
      <c r="R74" s="140"/>
      <c r="S74" s="140"/>
      <c r="T74" s="140">
        <f>SUM(T8:T73)</f>
        <v>9387</v>
      </c>
      <c r="U74" s="140">
        <f>SUM(U8:U73)</f>
        <v>740006</v>
      </c>
      <c r="W74" s="140">
        <f>SUM(W8:W73)</f>
        <v>752525</v>
      </c>
      <c r="X74" s="140">
        <v>-12519</v>
      </c>
    </row>
    <row r="75" spans="2:24" ht="45" customHeight="1" thickTop="1">
      <c r="B75" s="360"/>
      <c r="C75" s="415" t="s">
        <v>455</v>
      </c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5" t="s">
        <v>455</v>
      </c>
      <c r="O75" s="416"/>
      <c r="P75" s="416"/>
      <c r="Q75" s="416"/>
      <c r="R75" s="416"/>
      <c r="S75" s="416"/>
      <c r="T75" s="416"/>
      <c r="U75" s="416"/>
      <c r="V75" s="416"/>
      <c r="W75" s="416"/>
      <c r="X75" s="416"/>
    </row>
  </sheetData>
  <sheetProtection sheet="1" objects="1" scenarios="1"/>
  <mergeCells count="5">
    <mergeCell ref="A1:A2"/>
    <mergeCell ref="N4:T5"/>
    <mergeCell ref="C4:M5"/>
    <mergeCell ref="C75:M75"/>
    <mergeCell ref="N75:X75"/>
  </mergeCells>
  <printOptions/>
  <pageMargins left="0.75" right="0.75" top="0.38" bottom="0.41" header="0.22" footer="0.24"/>
  <pageSetup firstPageNumber="18" useFirstPageNumber="1" horizontalDpi="600" verticalDpi="600" orientation="portrait" paperSize="5" scale="80" r:id="rId1"/>
  <headerFooter alignWithMargins="0">
    <oddHeader>&amp;RCircular 1061</oddHeader>
    <oddFooter>&amp;L&amp;F,&amp;D&amp;CPrepared by Division of Education Finance&amp;RPage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6.28125" style="2" customWidth="1"/>
    <col min="2" max="2" width="20.57421875" style="3" customWidth="1"/>
    <col min="3" max="4" width="14.57421875" style="342" customWidth="1"/>
    <col min="5" max="5" width="14.7109375" style="348" hidden="1" customWidth="1"/>
    <col min="6" max="6" width="14.140625" style="348" customWidth="1"/>
    <col min="7" max="7" width="17.8515625" style="348" customWidth="1"/>
    <col min="8" max="8" width="17.140625" style="348" customWidth="1"/>
  </cols>
  <sheetData>
    <row r="1" spans="1:8" ht="36.75" customHeight="1">
      <c r="A1" s="417" t="s">
        <v>653</v>
      </c>
      <c r="B1" s="418"/>
      <c r="C1" s="418"/>
      <c r="D1" s="418"/>
      <c r="E1" s="418"/>
      <c r="F1" s="418"/>
      <c r="G1" s="418"/>
      <c r="H1" s="418"/>
    </row>
    <row r="2" spans="1:8" ht="12.75">
      <c r="A2" s="14"/>
      <c r="B2" s="14"/>
      <c r="C2" s="336"/>
      <c r="D2" s="336"/>
      <c r="E2" s="343"/>
      <c r="F2" s="343"/>
      <c r="G2" s="343"/>
      <c r="H2" s="343"/>
    </row>
    <row r="3" spans="1:8" ht="87" customHeight="1">
      <c r="A3" s="11" t="s">
        <v>162</v>
      </c>
      <c r="B3" s="11" t="s">
        <v>163</v>
      </c>
      <c r="C3" s="344" t="s">
        <v>654</v>
      </c>
      <c r="D3" s="337" t="s">
        <v>655</v>
      </c>
      <c r="E3" s="344" t="s">
        <v>649</v>
      </c>
      <c r="F3" s="344" t="s">
        <v>656</v>
      </c>
      <c r="G3" s="344" t="s">
        <v>650</v>
      </c>
      <c r="H3" s="344" t="s">
        <v>657</v>
      </c>
    </row>
    <row r="4" spans="1:8" ht="12.75">
      <c r="A4" s="62"/>
      <c r="B4" s="62"/>
      <c r="C4" s="349" t="s">
        <v>207</v>
      </c>
      <c r="D4" s="349" t="s">
        <v>651</v>
      </c>
      <c r="E4" s="350" t="s">
        <v>652</v>
      </c>
      <c r="F4" s="350" t="s">
        <v>208</v>
      </c>
      <c r="G4" s="350" t="s">
        <v>658</v>
      </c>
      <c r="H4" s="350" t="s">
        <v>659</v>
      </c>
    </row>
    <row r="5" spans="1:8" ht="12.75">
      <c r="A5" s="66"/>
      <c r="B5" s="68"/>
      <c r="C5" s="338"/>
      <c r="D5" s="338"/>
      <c r="E5" s="345"/>
      <c r="F5" s="345"/>
      <c r="G5" s="345"/>
      <c r="H5" s="345"/>
    </row>
    <row r="6" spans="1:8" ht="12.75">
      <c r="A6" s="76">
        <v>1</v>
      </c>
      <c r="B6" s="77" t="s">
        <v>7</v>
      </c>
      <c r="C6" s="339">
        <v>32021869</v>
      </c>
      <c r="D6" s="339">
        <v>32993149</v>
      </c>
      <c r="E6" s="346">
        <f aca="true" t="shared" si="0" ref="E6:E69">D6-C6</f>
        <v>971280</v>
      </c>
      <c r="F6" s="346">
        <v>32830214.1304</v>
      </c>
      <c r="G6" s="346">
        <f>F6-D6</f>
        <v>-162934.86960000172</v>
      </c>
      <c r="H6" s="346">
        <f>F6-C6</f>
        <v>808345.1303999983</v>
      </c>
    </row>
    <row r="7" spans="1:8" ht="12.75">
      <c r="A7" s="76">
        <v>2</v>
      </c>
      <c r="B7" s="77" t="s">
        <v>8</v>
      </c>
      <c r="C7" s="339">
        <v>14999655</v>
      </c>
      <c r="D7" s="339">
        <v>15884978</v>
      </c>
      <c r="E7" s="346">
        <f t="shared" si="0"/>
        <v>885323</v>
      </c>
      <c r="F7" s="346">
        <v>15867769.9941</v>
      </c>
      <c r="G7" s="346">
        <f aca="true" t="shared" si="1" ref="G7:G70">F7-D7</f>
        <v>-17208.00589999929</v>
      </c>
      <c r="H7" s="346">
        <f aca="true" t="shared" si="2" ref="H7:H70">F7-C7</f>
        <v>868114.9941000007</v>
      </c>
    </row>
    <row r="8" spans="1:8" ht="12.75">
      <c r="A8" s="76">
        <v>3</v>
      </c>
      <c r="B8" s="77" t="s">
        <v>9</v>
      </c>
      <c r="C8" s="339">
        <v>36875385</v>
      </c>
      <c r="D8" s="339">
        <v>36480137</v>
      </c>
      <c r="E8" s="346">
        <f t="shared" si="0"/>
        <v>-395248</v>
      </c>
      <c r="F8" s="346">
        <v>36465917</v>
      </c>
      <c r="G8" s="346">
        <f t="shared" si="1"/>
        <v>-14220</v>
      </c>
      <c r="H8" s="346">
        <f t="shared" si="2"/>
        <v>-409468</v>
      </c>
    </row>
    <row r="9" spans="1:8" ht="12.75">
      <c r="A9" s="76">
        <v>4</v>
      </c>
      <c r="B9" s="77" t="s">
        <v>10</v>
      </c>
      <c r="C9" s="339">
        <v>16999667</v>
      </c>
      <c r="D9" s="339">
        <v>18075364</v>
      </c>
      <c r="E9" s="346">
        <f t="shared" si="0"/>
        <v>1075697</v>
      </c>
      <c r="F9" s="346">
        <v>18008283.0129</v>
      </c>
      <c r="G9" s="346">
        <f t="shared" si="1"/>
        <v>-67080.98710000142</v>
      </c>
      <c r="H9" s="346">
        <f t="shared" si="2"/>
        <v>1008616.0128999986</v>
      </c>
    </row>
    <row r="10" spans="1:8" ht="12.75">
      <c r="A10" s="115">
        <v>5</v>
      </c>
      <c r="B10" s="116" t="s">
        <v>11</v>
      </c>
      <c r="C10" s="340">
        <v>23453191</v>
      </c>
      <c r="D10" s="340">
        <v>24038972</v>
      </c>
      <c r="E10" s="347">
        <f t="shared" si="0"/>
        <v>585781</v>
      </c>
      <c r="F10" s="347">
        <v>23359141.505</v>
      </c>
      <c r="G10" s="347">
        <f t="shared" si="1"/>
        <v>-679830.495000001</v>
      </c>
      <c r="H10" s="347">
        <f t="shared" si="2"/>
        <v>-94049.49500000104</v>
      </c>
    </row>
    <row r="11" spans="1:8" ht="12.75">
      <c r="A11" s="76">
        <v>6</v>
      </c>
      <c r="B11" s="77" t="s">
        <v>12</v>
      </c>
      <c r="C11" s="339">
        <v>19132244</v>
      </c>
      <c r="D11" s="339">
        <v>19460575</v>
      </c>
      <c r="E11" s="346">
        <f t="shared" si="0"/>
        <v>328331</v>
      </c>
      <c r="F11" s="346">
        <v>19754545.421</v>
      </c>
      <c r="G11" s="346">
        <f t="shared" si="1"/>
        <v>293970.4210000001</v>
      </c>
      <c r="H11" s="346">
        <f t="shared" si="2"/>
        <v>622301.4210000001</v>
      </c>
    </row>
    <row r="12" spans="1:8" ht="12.75">
      <c r="A12" s="76">
        <v>7</v>
      </c>
      <c r="B12" s="77" t="s">
        <v>13</v>
      </c>
      <c r="C12" s="339">
        <v>8455077</v>
      </c>
      <c r="D12" s="339">
        <v>8562952</v>
      </c>
      <c r="E12" s="346">
        <f t="shared" si="0"/>
        <v>107875</v>
      </c>
      <c r="F12" s="346">
        <v>8006340.0748</v>
      </c>
      <c r="G12" s="346">
        <f t="shared" si="1"/>
        <v>-556611.9252000004</v>
      </c>
      <c r="H12" s="346">
        <f t="shared" si="2"/>
        <v>-448736.9252000004</v>
      </c>
    </row>
    <row r="13" spans="1:8" ht="12.75">
      <c r="A13" s="76">
        <v>8</v>
      </c>
      <c r="B13" s="77" t="s">
        <v>14</v>
      </c>
      <c r="C13" s="339">
        <v>51432119</v>
      </c>
      <c r="D13" s="339">
        <v>53941780</v>
      </c>
      <c r="E13" s="346">
        <f t="shared" si="0"/>
        <v>2509661</v>
      </c>
      <c r="F13" s="346">
        <v>54137879.4539</v>
      </c>
      <c r="G13" s="346">
        <f t="shared" si="1"/>
        <v>196099.45390000194</v>
      </c>
      <c r="H13" s="346">
        <f t="shared" si="2"/>
        <v>2705760.453900002</v>
      </c>
    </row>
    <row r="14" spans="1:8" ht="12.75">
      <c r="A14" s="76">
        <v>9</v>
      </c>
      <c r="B14" s="77" t="s">
        <v>15</v>
      </c>
      <c r="C14" s="339">
        <v>139539868</v>
      </c>
      <c r="D14" s="339">
        <v>150017772</v>
      </c>
      <c r="E14" s="346">
        <f t="shared" si="0"/>
        <v>10477904</v>
      </c>
      <c r="F14" s="346">
        <v>146637571.8666</v>
      </c>
      <c r="G14" s="346">
        <f t="shared" si="1"/>
        <v>-3380200.133399993</v>
      </c>
      <c r="H14" s="346">
        <f t="shared" si="2"/>
        <v>7097703.866600007</v>
      </c>
    </row>
    <row r="15" spans="1:8" ht="12.75">
      <c r="A15" s="115">
        <v>10</v>
      </c>
      <c r="B15" s="116" t="s">
        <v>16</v>
      </c>
      <c r="C15" s="340">
        <v>79747118</v>
      </c>
      <c r="D15" s="340">
        <v>80272000</v>
      </c>
      <c r="E15" s="347">
        <f t="shared" si="0"/>
        <v>524882</v>
      </c>
      <c r="F15" s="347">
        <v>77558563.633</v>
      </c>
      <c r="G15" s="347">
        <f t="shared" si="1"/>
        <v>-2713436.3669999987</v>
      </c>
      <c r="H15" s="347">
        <f t="shared" si="2"/>
        <v>-2188554.3669999987</v>
      </c>
    </row>
    <row r="16" spans="1:8" ht="12.75">
      <c r="A16" s="76">
        <v>11</v>
      </c>
      <c r="B16" s="77" t="s">
        <v>17</v>
      </c>
      <c r="C16" s="339">
        <v>7003437</v>
      </c>
      <c r="D16" s="339">
        <v>7718038</v>
      </c>
      <c r="E16" s="346">
        <f t="shared" si="0"/>
        <v>714601</v>
      </c>
      <c r="F16" s="346">
        <v>7242523.0455</v>
      </c>
      <c r="G16" s="346">
        <f t="shared" si="1"/>
        <v>-475514.9545</v>
      </c>
      <c r="H16" s="346">
        <f t="shared" si="2"/>
        <v>239086.0455</v>
      </c>
    </row>
    <row r="17" spans="1:8" ht="12.75">
      <c r="A17" s="76">
        <v>12</v>
      </c>
      <c r="B17" s="77" t="s">
        <v>18</v>
      </c>
      <c r="C17" s="339">
        <v>5238058</v>
      </c>
      <c r="D17" s="339">
        <v>5186296</v>
      </c>
      <c r="E17" s="346">
        <f t="shared" si="0"/>
        <v>-51762</v>
      </c>
      <c r="F17" s="346">
        <v>5430143.9506</v>
      </c>
      <c r="G17" s="346">
        <f t="shared" si="1"/>
        <v>243847.9506000001</v>
      </c>
      <c r="H17" s="346">
        <f t="shared" si="2"/>
        <v>192085.9506000001</v>
      </c>
    </row>
    <row r="18" spans="1:8" ht="12.75">
      <c r="A18" s="76">
        <v>13</v>
      </c>
      <c r="B18" s="77" t="s">
        <v>19</v>
      </c>
      <c r="C18" s="339">
        <v>7396406</v>
      </c>
      <c r="D18" s="339">
        <v>7701791</v>
      </c>
      <c r="E18" s="346">
        <f t="shared" si="0"/>
        <v>305385</v>
      </c>
      <c r="F18" s="346">
        <v>7398095.2461</v>
      </c>
      <c r="G18" s="346">
        <f t="shared" si="1"/>
        <v>-303695.7538999999</v>
      </c>
      <c r="H18" s="346">
        <f t="shared" si="2"/>
        <v>1689.2461000001058</v>
      </c>
    </row>
    <row r="19" spans="1:8" ht="12.75">
      <c r="A19" s="76">
        <v>14</v>
      </c>
      <c r="B19" s="77" t="s">
        <v>20</v>
      </c>
      <c r="C19" s="339">
        <v>9388772</v>
      </c>
      <c r="D19" s="339">
        <v>10115890</v>
      </c>
      <c r="E19" s="346">
        <f t="shared" si="0"/>
        <v>727118</v>
      </c>
      <c r="F19" s="346">
        <v>10330425.445</v>
      </c>
      <c r="G19" s="346">
        <f t="shared" si="1"/>
        <v>214535.4450000003</v>
      </c>
      <c r="H19" s="346">
        <f t="shared" si="2"/>
        <v>941653.4450000003</v>
      </c>
    </row>
    <row r="20" spans="1:8" ht="12.75">
      <c r="A20" s="115">
        <v>15</v>
      </c>
      <c r="B20" s="116" t="s">
        <v>21</v>
      </c>
      <c r="C20" s="340">
        <v>13531956</v>
      </c>
      <c r="D20" s="340">
        <v>14335444</v>
      </c>
      <c r="E20" s="347">
        <f t="shared" si="0"/>
        <v>803488</v>
      </c>
      <c r="F20" s="347">
        <v>13673120.8916</v>
      </c>
      <c r="G20" s="347">
        <f t="shared" si="1"/>
        <v>-662323.1084000003</v>
      </c>
      <c r="H20" s="347">
        <f t="shared" si="2"/>
        <v>141164.89159999974</v>
      </c>
    </row>
    <row r="21" spans="1:8" ht="12.75">
      <c r="A21" s="76">
        <v>16</v>
      </c>
      <c r="B21" s="77" t="s">
        <v>22</v>
      </c>
      <c r="C21" s="339">
        <v>16138415</v>
      </c>
      <c r="D21" s="339">
        <v>15922083</v>
      </c>
      <c r="E21" s="346">
        <f t="shared" si="0"/>
        <v>-216332</v>
      </c>
      <c r="F21" s="346">
        <v>15845699.8948</v>
      </c>
      <c r="G21" s="346">
        <f t="shared" si="1"/>
        <v>-76383.10520000011</v>
      </c>
      <c r="H21" s="346">
        <f t="shared" si="2"/>
        <v>-292715.1052000001</v>
      </c>
    </row>
    <row r="22" spans="1:8" ht="12.75">
      <c r="A22" s="76">
        <v>17</v>
      </c>
      <c r="B22" s="77" t="s">
        <v>23</v>
      </c>
      <c r="C22" s="339">
        <v>142060835</v>
      </c>
      <c r="D22" s="339">
        <v>140360224</v>
      </c>
      <c r="E22" s="346">
        <f t="shared" si="0"/>
        <v>-1700611</v>
      </c>
      <c r="F22" s="346">
        <v>138409492.1</v>
      </c>
      <c r="G22" s="346">
        <f t="shared" si="1"/>
        <v>-1950731.900000006</v>
      </c>
      <c r="H22" s="346">
        <f t="shared" si="2"/>
        <v>-3651342.900000006</v>
      </c>
    </row>
    <row r="23" spans="1:8" ht="12.75">
      <c r="A23" s="76">
        <v>18</v>
      </c>
      <c r="B23" s="77" t="s">
        <v>24</v>
      </c>
      <c r="C23" s="339">
        <v>6663669</v>
      </c>
      <c r="D23" s="339">
        <v>7096358</v>
      </c>
      <c r="E23" s="346">
        <f t="shared" si="0"/>
        <v>432689</v>
      </c>
      <c r="F23" s="346">
        <v>7113157.3074</v>
      </c>
      <c r="G23" s="346">
        <f t="shared" si="1"/>
        <v>16799.30740000028</v>
      </c>
      <c r="H23" s="346">
        <f t="shared" si="2"/>
        <v>449488.3074000003</v>
      </c>
    </row>
    <row r="24" spans="1:8" ht="12.75">
      <c r="A24" s="76">
        <v>19</v>
      </c>
      <c r="B24" s="77" t="s">
        <v>25</v>
      </c>
      <c r="C24" s="339">
        <v>9971663</v>
      </c>
      <c r="D24" s="339">
        <v>10650934</v>
      </c>
      <c r="E24" s="346">
        <f t="shared" si="0"/>
        <v>679271</v>
      </c>
      <c r="F24" s="346">
        <v>10178684.652</v>
      </c>
      <c r="G24" s="346">
        <f t="shared" si="1"/>
        <v>-472249.3479999993</v>
      </c>
      <c r="H24" s="346">
        <f t="shared" si="2"/>
        <v>207021.6520000007</v>
      </c>
    </row>
    <row r="25" spans="1:8" ht="12.75">
      <c r="A25" s="115">
        <v>20</v>
      </c>
      <c r="B25" s="116" t="s">
        <v>26</v>
      </c>
      <c r="C25" s="340">
        <v>22149636</v>
      </c>
      <c r="D25" s="340">
        <v>22445760</v>
      </c>
      <c r="E25" s="347">
        <f t="shared" si="0"/>
        <v>296124</v>
      </c>
      <c r="F25" s="347">
        <v>21434440.6112</v>
      </c>
      <c r="G25" s="347">
        <f t="shared" si="1"/>
        <v>-1011319.3887999989</v>
      </c>
      <c r="H25" s="347">
        <f t="shared" si="2"/>
        <v>-715195.3887999989</v>
      </c>
    </row>
    <row r="26" spans="1:8" ht="12.75">
      <c r="A26" s="76">
        <v>21</v>
      </c>
      <c r="B26" s="77" t="s">
        <v>27</v>
      </c>
      <c r="C26" s="339">
        <v>13697334</v>
      </c>
      <c r="D26" s="339">
        <v>13963063</v>
      </c>
      <c r="E26" s="346">
        <f t="shared" si="0"/>
        <v>265729</v>
      </c>
      <c r="F26" s="346">
        <v>13937438.3854</v>
      </c>
      <c r="G26" s="346">
        <f t="shared" si="1"/>
        <v>-25624.614600000903</v>
      </c>
      <c r="H26" s="346">
        <f t="shared" si="2"/>
        <v>240104.3853999991</v>
      </c>
    </row>
    <row r="27" spans="1:8" ht="12.75">
      <c r="A27" s="76">
        <v>22</v>
      </c>
      <c r="B27" s="77" t="s">
        <v>28</v>
      </c>
      <c r="C27" s="339">
        <v>13672920</v>
      </c>
      <c r="D27" s="339">
        <v>14349683</v>
      </c>
      <c r="E27" s="346">
        <f t="shared" si="0"/>
        <v>676763</v>
      </c>
      <c r="F27" s="346">
        <v>14116726.971</v>
      </c>
      <c r="G27" s="346">
        <f t="shared" si="1"/>
        <v>-232956.02899999917</v>
      </c>
      <c r="H27" s="346">
        <f t="shared" si="2"/>
        <v>443806.97100000083</v>
      </c>
    </row>
    <row r="28" spans="1:8" ht="12.75">
      <c r="A28" s="76">
        <v>23</v>
      </c>
      <c r="B28" s="77" t="s">
        <v>29</v>
      </c>
      <c r="C28" s="339">
        <v>49478286</v>
      </c>
      <c r="D28" s="339">
        <v>50716389</v>
      </c>
      <c r="E28" s="346">
        <f t="shared" si="0"/>
        <v>1238103</v>
      </c>
      <c r="F28" s="346">
        <v>50056033.1291</v>
      </c>
      <c r="G28" s="346">
        <f t="shared" si="1"/>
        <v>-660355.8708999977</v>
      </c>
      <c r="H28" s="346">
        <f t="shared" si="2"/>
        <v>577747.1291000023</v>
      </c>
    </row>
    <row r="29" spans="1:8" ht="12.75">
      <c r="A29" s="76">
        <v>24</v>
      </c>
      <c r="B29" s="77" t="s">
        <v>30</v>
      </c>
      <c r="C29" s="339">
        <v>13451340</v>
      </c>
      <c r="D29" s="339">
        <v>13257777</v>
      </c>
      <c r="E29" s="346">
        <f t="shared" si="0"/>
        <v>-193563</v>
      </c>
      <c r="F29" s="346">
        <v>12798781.35</v>
      </c>
      <c r="G29" s="346">
        <f t="shared" si="1"/>
        <v>-458995.6500000004</v>
      </c>
      <c r="H29" s="346">
        <f t="shared" si="2"/>
        <v>-652558.6500000004</v>
      </c>
    </row>
    <row r="30" spans="1:8" ht="12.75">
      <c r="A30" s="115">
        <v>25</v>
      </c>
      <c r="B30" s="116" t="s">
        <v>31</v>
      </c>
      <c r="C30" s="340">
        <v>9443180</v>
      </c>
      <c r="D30" s="340">
        <v>10146450</v>
      </c>
      <c r="E30" s="347">
        <f t="shared" si="0"/>
        <v>703270</v>
      </c>
      <c r="F30" s="347">
        <v>9976991.5564</v>
      </c>
      <c r="G30" s="347">
        <f t="shared" si="1"/>
        <v>-169458.4436000008</v>
      </c>
      <c r="H30" s="347">
        <f t="shared" si="2"/>
        <v>533811.5563999992</v>
      </c>
    </row>
    <row r="31" spans="1:8" ht="12.75">
      <c r="A31" s="76">
        <v>26</v>
      </c>
      <c r="B31" s="77" t="s">
        <v>32</v>
      </c>
      <c r="C31" s="339">
        <v>127231665</v>
      </c>
      <c r="D31" s="339">
        <v>125656601</v>
      </c>
      <c r="E31" s="346">
        <f t="shared" si="0"/>
        <v>-1575064</v>
      </c>
      <c r="F31" s="346">
        <v>121873851.02999999</v>
      </c>
      <c r="G31" s="346">
        <f t="shared" si="1"/>
        <v>-3782749.9700000137</v>
      </c>
      <c r="H31" s="346">
        <f t="shared" si="2"/>
        <v>-5357813.970000014</v>
      </c>
    </row>
    <row r="32" spans="1:8" ht="12.75">
      <c r="A32" s="76">
        <v>27</v>
      </c>
      <c r="B32" s="77" t="s">
        <v>33</v>
      </c>
      <c r="C32" s="339">
        <v>20139036</v>
      </c>
      <c r="D32" s="339">
        <v>21369393</v>
      </c>
      <c r="E32" s="346">
        <f t="shared" si="0"/>
        <v>1230357</v>
      </c>
      <c r="F32" s="346">
        <v>21299325.5505</v>
      </c>
      <c r="G32" s="346">
        <f t="shared" si="1"/>
        <v>-70067.44949999824</v>
      </c>
      <c r="H32" s="346">
        <f t="shared" si="2"/>
        <v>1160289.5505000018</v>
      </c>
    </row>
    <row r="33" spans="1:8" ht="12.75">
      <c r="A33" s="76">
        <v>28</v>
      </c>
      <c r="B33" s="77" t="s">
        <v>34</v>
      </c>
      <c r="C33" s="339">
        <v>71754284</v>
      </c>
      <c r="D33" s="339">
        <v>71023879</v>
      </c>
      <c r="E33" s="346">
        <f t="shared" si="0"/>
        <v>-730405</v>
      </c>
      <c r="F33" s="346">
        <v>69366295.84</v>
      </c>
      <c r="G33" s="346">
        <f t="shared" si="1"/>
        <v>-1657583.1599999964</v>
      </c>
      <c r="H33" s="346">
        <f t="shared" si="2"/>
        <v>-2387988.1599999964</v>
      </c>
    </row>
    <row r="34" spans="1:8" ht="12.75">
      <c r="A34" s="76">
        <v>29</v>
      </c>
      <c r="B34" s="77" t="s">
        <v>35</v>
      </c>
      <c r="C34" s="339">
        <v>50452452</v>
      </c>
      <c r="D34" s="339">
        <v>51477139</v>
      </c>
      <c r="E34" s="346">
        <f t="shared" si="0"/>
        <v>1024687</v>
      </c>
      <c r="F34" s="346">
        <v>49870611.3708</v>
      </c>
      <c r="G34" s="346">
        <f t="shared" si="1"/>
        <v>-1606527.6291999966</v>
      </c>
      <c r="H34" s="346">
        <f t="shared" si="2"/>
        <v>-581840.6291999966</v>
      </c>
    </row>
    <row r="35" spans="1:8" ht="12.75">
      <c r="A35" s="115">
        <v>30</v>
      </c>
      <c r="B35" s="116" t="s">
        <v>36</v>
      </c>
      <c r="C35" s="340">
        <v>9727200</v>
      </c>
      <c r="D35" s="340">
        <v>9046407</v>
      </c>
      <c r="E35" s="347">
        <f t="shared" si="0"/>
        <v>-680793</v>
      </c>
      <c r="F35" s="347">
        <v>8942272.2679</v>
      </c>
      <c r="G35" s="347">
        <f t="shared" si="1"/>
        <v>-104134.7321000006</v>
      </c>
      <c r="H35" s="347">
        <f t="shared" si="2"/>
        <v>-784927.7321000006</v>
      </c>
    </row>
    <row r="36" spans="1:8" ht="12.75">
      <c r="A36" s="76">
        <v>31</v>
      </c>
      <c r="B36" s="77" t="s">
        <v>37</v>
      </c>
      <c r="C36" s="339">
        <v>18158015</v>
      </c>
      <c r="D36" s="339">
        <v>18672898</v>
      </c>
      <c r="E36" s="346">
        <f t="shared" si="0"/>
        <v>514883</v>
      </c>
      <c r="F36" s="346">
        <v>19057466.5893</v>
      </c>
      <c r="G36" s="346">
        <f t="shared" si="1"/>
        <v>384568.5892999992</v>
      </c>
      <c r="H36" s="346">
        <f t="shared" si="2"/>
        <v>899451.5892999992</v>
      </c>
    </row>
    <row r="37" spans="1:8" ht="12.75">
      <c r="A37" s="76">
        <v>32</v>
      </c>
      <c r="B37" s="77" t="s">
        <v>38</v>
      </c>
      <c r="C37" s="339">
        <v>65780628</v>
      </c>
      <c r="D37" s="339">
        <v>69971512</v>
      </c>
      <c r="E37" s="346">
        <f t="shared" si="0"/>
        <v>4190884</v>
      </c>
      <c r="F37" s="346">
        <v>69661676.9328</v>
      </c>
      <c r="G37" s="346">
        <f t="shared" si="1"/>
        <v>-309835.06720000505</v>
      </c>
      <c r="H37" s="346">
        <f t="shared" si="2"/>
        <v>3881048.932799995</v>
      </c>
    </row>
    <row r="38" spans="1:8" ht="12.75">
      <c r="A38" s="76">
        <v>33</v>
      </c>
      <c r="B38" s="77" t="s">
        <v>39</v>
      </c>
      <c r="C38" s="339">
        <v>8528363</v>
      </c>
      <c r="D38" s="339">
        <v>9026689</v>
      </c>
      <c r="E38" s="346">
        <f t="shared" si="0"/>
        <v>498326</v>
      </c>
      <c r="F38" s="346">
        <v>9061632.814</v>
      </c>
      <c r="G38" s="346">
        <f t="shared" si="1"/>
        <v>34943.813999999315</v>
      </c>
      <c r="H38" s="346">
        <f t="shared" si="2"/>
        <v>533269.8139999993</v>
      </c>
    </row>
    <row r="39" spans="1:8" ht="12.75">
      <c r="A39" s="76">
        <v>34</v>
      </c>
      <c r="B39" s="77" t="s">
        <v>40</v>
      </c>
      <c r="C39" s="339">
        <v>17205792</v>
      </c>
      <c r="D39" s="339">
        <v>18434881</v>
      </c>
      <c r="E39" s="346">
        <f t="shared" si="0"/>
        <v>1229089</v>
      </c>
      <c r="F39" s="346">
        <v>17662903.5182</v>
      </c>
      <c r="G39" s="346">
        <f t="shared" si="1"/>
        <v>-771977.4818000011</v>
      </c>
      <c r="H39" s="346">
        <f t="shared" si="2"/>
        <v>457111.5181999989</v>
      </c>
    </row>
    <row r="40" spans="1:8" ht="12.75">
      <c r="A40" s="115">
        <v>35</v>
      </c>
      <c r="B40" s="116" t="s">
        <v>41</v>
      </c>
      <c r="C40" s="340">
        <v>22098319</v>
      </c>
      <c r="D40" s="340">
        <v>23178990</v>
      </c>
      <c r="E40" s="347">
        <f t="shared" si="0"/>
        <v>1080671</v>
      </c>
      <c r="F40" s="347">
        <v>22216125.542</v>
      </c>
      <c r="G40" s="347">
        <f t="shared" si="1"/>
        <v>-962864.4580000006</v>
      </c>
      <c r="H40" s="347">
        <f t="shared" si="2"/>
        <v>117806.54199999943</v>
      </c>
    </row>
    <row r="41" spans="1:8" ht="12.75">
      <c r="A41" s="76">
        <v>36</v>
      </c>
      <c r="B41" s="77" t="s">
        <v>42</v>
      </c>
      <c r="C41" s="339">
        <v>218625958</v>
      </c>
      <c r="D41" s="339">
        <v>224388485</v>
      </c>
      <c r="E41" s="346">
        <f t="shared" si="0"/>
        <v>5762527</v>
      </c>
      <c r="F41" s="346">
        <v>222990107.4037</v>
      </c>
      <c r="G41" s="346">
        <f t="shared" si="1"/>
        <v>-1398377.596300006</v>
      </c>
      <c r="H41" s="346">
        <f t="shared" si="2"/>
        <v>4364149.403699994</v>
      </c>
    </row>
    <row r="42" spans="1:8" ht="12.75">
      <c r="A42" s="76">
        <v>37</v>
      </c>
      <c r="B42" s="77" t="s">
        <v>43</v>
      </c>
      <c r="C42" s="339">
        <v>53802490</v>
      </c>
      <c r="D42" s="339">
        <v>58405226</v>
      </c>
      <c r="E42" s="346">
        <f t="shared" si="0"/>
        <v>4602736</v>
      </c>
      <c r="F42" s="346">
        <v>59000152.6612</v>
      </c>
      <c r="G42" s="346">
        <f t="shared" si="1"/>
        <v>594926.6612000018</v>
      </c>
      <c r="H42" s="346">
        <f t="shared" si="2"/>
        <v>5197662.661200002</v>
      </c>
    </row>
    <row r="43" spans="1:8" ht="12.75">
      <c r="A43" s="76">
        <v>38</v>
      </c>
      <c r="B43" s="77" t="s">
        <v>44</v>
      </c>
      <c r="C43" s="339">
        <v>10396247</v>
      </c>
      <c r="D43" s="339">
        <v>10208618</v>
      </c>
      <c r="E43" s="346">
        <f t="shared" si="0"/>
        <v>-187629</v>
      </c>
      <c r="F43" s="346">
        <v>9860476.31</v>
      </c>
      <c r="G43" s="346">
        <f t="shared" si="1"/>
        <v>-348141.6899999995</v>
      </c>
      <c r="H43" s="346">
        <f t="shared" si="2"/>
        <v>-535770.6899999995</v>
      </c>
    </row>
    <row r="44" spans="1:8" ht="12.75">
      <c r="A44" s="76">
        <v>39</v>
      </c>
      <c r="B44" s="77" t="s">
        <v>45</v>
      </c>
      <c r="C44" s="339">
        <v>8718352</v>
      </c>
      <c r="D44" s="339">
        <v>8754881</v>
      </c>
      <c r="E44" s="346">
        <f t="shared" si="0"/>
        <v>36529</v>
      </c>
      <c r="F44" s="346">
        <v>8486968.92</v>
      </c>
      <c r="G44" s="346">
        <f t="shared" si="1"/>
        <v>-267912.0800000001</v>
      </c>
      <c r="H44" s="346">
        <f t="shared" si="2"/>
        <v>-231383.08000000007</v>
      </c>
    </row>
    <row r="45" spans="1:8" ht="12.75">
      <c r="A45" s="115">
        <v>40</v>
      </c>
      <c r="B45" s="116" t="s">
        <v>46</v>
      </c>
      <c r="C45" s="340">
        <v>72829932</v>
      </c>
      <c r="D45" s="340">
        <v>73122734</v>
      </c>
      <c r="E45" s="347">
        <f t="shared" si="0"/>
        <v>292802</v>
      </c>
      <c r="F45" s="347">
        <v>73291350.8769</v>
      </c>
      <c r="G45" s="347">
        <f t="shared" si="1"/>
        <v>168616.87690000236</v>
      </c>
      <c r="H45" s="347">
        <f t="shared" si="2"/>
        <v>461418.87690000236</v>
      </c>
    </row>
    <row r="46" spans="1:8" ht="12.75">
      <c r="A46" s="76">
        <v>41</v>
      </c>
      <c r="B46" s="77" t="s">
        <v>47</v>
      </c>
      <c r="C46" s="339">
        <v>7321001</v>
      </c>
      <c r="D46" s="339">
        <v>7973359</v>
      </c>
      <c r="E46" s="346">
        <f t="shared" si="0"/>
        <v>652358</v>
      </c>
      <c r="F46" s="346">
        <v>8330468.732799999</v>
      </c>
      <c r="G46" s="346">
        <f t="shared" si="1"/>
        <v>357109.7327999994</v>
      </c>
      <c r="H46" s="346">
        <f t="shared" si="2"/>
        <v>1009467.7327999994</v>
      </c>
    </row>
    <row r="47" spans="1:8" ht="12.75">
      <c r="A47" s="76">
        <v>42</v>
      </c>
      <c r="B47" s="77" t="s">
        <v>48</v>
      </c>
      <c r="C47" s="339">
        <v>13675200</v>
      </c>
      <c r="D47" s="339">
        <v>14488449</v>
      </c>
      <c r="E47" s="346">
        <f t="shared" si="0"/>
        <v>813249</v>
      </c>
      <c r="F47" s="346">
        <v>13573306.2351</v>
      </c>
      <c r="G47" s="346">
        <f t="shared" si="1"/>
        <v>-915142.7649000008</v>
      </c>
      <c r="H47" s="346">
        <f t="shared" si="2"/>
        <v>-101893.76490000077</v>
      </c>
    </row>
    <row r="48" spans="1:8" ht="12.75">
      <c r="A48" s="76">
        <v>43</v>
      </c>
      <c r="B48" s="77" t="s">
        <v>49</v>
      </c>
      <c r="C48" s="339">
        <v>14580778</v>
      </c>
      <c r="D48" s="339">
        <v>15055859</v>
      </c>
      <c r="E48" s="346">
        <f t="shared" si="0"/>
        <v>475081</v>
      </c>
      <c r="F48" s="346">
        <v>15142356.8397</v>
      </c>
      <c r="G48" s="346">
        <f t="shared" si="1"/>
        <v>86497.83970000036</v>
      </c>
      <c r="H48" s="346">
        <f t="shared" si="2"/>
        <v>561578.8397000004</v>
      </c>
    </row>
    <row r="49" spans="1:8" ht="12.75">
      <c r="A49" s="76">
        <v>44</v>
      </c>
      <c r="B49" s="77" t="s">
        <v>50</v>
      </c>
      <c r="C49" s="339">
        <v>25005601</v>
      </c>
      <c r="D49" s="339">
        <v>25563237</v>
      </c>
      <c r="E49" s="346">
        <f t="shared" si="0"/>
        <v>557636</v>
      </c>
      <c r="F49" s="346">
        <v>24296625.7467</v>
      </c>
      <c r="G49" s="346">
        <f t="shared" si="1"/>
        <v>-1266611.2533</v>
      </c>
      <c r="H49" s="346">
        <f t="shared" si="2"/>
        <v>-708975.2533</v>
      </c>
    </row>
    <row r="50" spans="1:8" ht="12.75">
      <c r="A50" s="115">
        <v>45</v>
      </c>
      <c r="B50" s="116" t="s">
        <v>51</v>
      </c>
      <c r="C50" s="340">
        <v>22402907</v>
      </c>
      <c r="D50" s="340">
        <v>21964873</v>
      </c>
      <c r="E50" s="347">
        <f t="shared" si="0"/>
        <v>-438034</v>
      </c>
      <c r="F50" s="347">
        <v>21601640.5</v>
      </c>
      <c r="G50" s="347">
        <f t="shared" si="1"/>
        <v>-363232.5</v>
      </c>
      <c r="H50" s="347">
        <f t="shared" si="2"/>
        <v>-801266.5</v>
      </c>
    </row>
    <row r="51" spans="1:8" ht="12.75">
      <c r="A51" s="76">
        <v>46</v>
      </c>
      <c r="B51" s="77" t="s">
        <v>52</v>
      </c>
      <c r="C51" s="339">
        <v>5630943</v>
      </c>
      <c r="D51" s="339">
        <v>6058824</v>
      </c>
      <c r="E51" s="346">
        <f t="shared" si="0"/>
        <v>427881</v>
      </c>
      <c r="F51" s="346">
        <v>6085925.4911</v>
      </c>
      <c r="G51" s="346">
        <f t="shared" si="1"/>
        <v>27101.491100000218</v>
      </c>
      <c r="H51" s="346">
        <f t="shared" si="2"/>
        <v>454982.4911000002</v>
      </c>
    </row>
    <row r="52" spans="1:8" ht="12.75">
      <c r="A52" s="76">
        <v>47</v>
      </c>
      <c r="B52" s="77" t="s">
        <v>53</v>
      </c>
      <c r="C52" s="339">
        <v>10189256</v>
      </c>
      <c r="D52" s="339">
        <v>10021390</v>
      </c>
      <c r="E52" s="346">
        <f t="shared" si="0"/>
        <v>-167866</v>
      </c>
      <c r="F52" s="346">
        <v>9547145.84</v>
      </c>
      <c r="G52" s="346">
        <f t="shared" si="1"/>
        <v>-474244.16000000015</v>
      </c>
      <c r="H52" s="346">
        <f t="shared" si="2"/>
        <v>-642110.1600000001</v>
      </c>
    </row>
    <row r="53" spans="1:8" ht="12.75">
      <c r="A53" s="76">
        <v>48</v>
      </c>
      <c r="B53" s="77" t="s">
        <v>54</v>
      </c>
      <c r="C53" s="339">
        <v>19630831</v>
      </c>
      <c r="D53" s="339">
        <v>21031677</v>
      </c>
      <c r="E53" s="346">
        <f t="shared" si="0"/>
        <v>1400846</v>
      </c>
      <c r="F53" s="346">
        <v>20767686.7519</v>
      </c>
      <c r="G53" s="346">
        <f t="shared" si="1"/>
        <v>-263990.24810000136</v>
      </c>
      <c r="H53" s="346">
        <f t="shared" si="2"/>
        <v>1136855.7518999986</v>
      </c>
    </row>
    <row r="54" spans="1:8" ht="12.75">
      <c r="A54" s="76">
        <v>49</v>
      </c>
      <c r="B54" s="77" t="s">
        <v>55</v>
      </c>
      <c r="C54" s="339">
        <v>50896997</v>
      </c>
      <c r="D54" s="339">
        <v>51365981</v>
      </c>
      <c r="E54" s="346">
        <f t="shared" si="0"/>
        <v>468984</v>
      </c>
      <c r="F54" s="346">
        <v>51634727.2586</v>
      </c>
      <c r="G54" s="346">
        <f t="shared" si="1"/>
        <v>268746.25859999657</v>
      </c>
      <c r="H54" s="346">
        <f t="shared" si="2"/>
        <v>737730.2585999966</v>
      </c>
    </row>
    <row r="55" spans="1:8" ht="12.75">
      <c r="A55" s="115">
        <v>50</v>
      </c>
      <c r="B55" s="116" t="s">
        <v>56</v>
      </c>
      <c r="C55" s="340">
        <v>29390260</v>
      </c>
      <c r="D55" s="340">
        <v>31020499</v>
      </c>
      <c r="E55" s="347">
        <f t="shared" si="0"/>
        <v>1630239</v>
      </c>
      <c r="F55" s="347">
        <v>30649765.9511</v>
      </c>
      <c r="G55" s="347">
        <f t="shared" si="1"/>
        <v>-370733.04890000075</v>
      </c>
      <c r="H55" s="347">
        <f t="shared" si="2"/>
        <v>1259505.9510999992</v>
      </c>
    </row>
    <row r="56" spans="1:8" ht="12.75">
      <c r="A56" s="76">
        <v>51</v>
      </c>
      <c r="B56" s="77" t="s">
        <v>57</v>
      </c>
      <c r="C56" s="339">
        <v>31489544</v>
      </c>
      <c r="D56" s="339">
        <v>31296710</v>
      </c>
      <c r="E56" s="346">
        <f t="shared" si="0"/>
        <v>-192834</v>
      </c>
      <c r="F56" s="346">
        <v>32132970.3148</v>
      </c>
      <c r="G56" s="346">
        <f t="shared" si="1"/>
        <v>836260.3148000017</v>
      </c>
      <c r="H56" s="346">
        <f t="shared" si="2"/>
        <v>643426.3148000017</v>
      </c>
    </row>
    <row r="57" spans="1:8" ht="12.75">
      <c r="A57" s="76">
        <v>52</v>
      </c>
      <c r="B57" s="77" t="s">
        <v>58</v>
      </c>
      <c r="C57" s="339">
        <v>107920484</v>
      </c>
      <c r="D57" s="339">
        <v>113707803</v>
      </c>
      <c r="E57" s="346">
        <f t="shared" si="0"/>
        <v>5787319</v>
      </c>
      <c r="F57" s="346">
        <v>112823956.9826</v>
      </c>
      <c r="G57" s="346">
        <f t="shared" si="1"/>
        <v>-883846.0173999965</v>
      </c>
      <c r="H57" s="346">
        <f t="shared" si="2"/>
        <v>4903472.9826000035</v>
      </c>
    </row>
    <row r="58" spans="1:8" ht="12.75">
      <c r="A58" s="76">
        <v>53</v>
      </c>
      <c r="B58" s="77" t="s">
        <v>59</v>
      </c>
      <c r="C58" s="339">
        <v>60368833</v>
      </c>
      <c r="D58" s="339">
        <v>62723266</v>
      </c>
      <c r="E58" s="346">
        <f t="shared" si="0"/>
        <v>2354433</v>
      </c>
      <c r="F58" s="346">
        <v>62982832.5491</v>
      </c>
      <c r="G58" s="346">
        <f t="shared" si="1"/>
        <v>259566.5490999967</v>
      </c>
      <c r="H58" s="346">
        <f t="shared" si="2"/>
        <v>2613999.5490999967</v>
      </c>
    </row>
    <row r="59" spans="1:8" ht="12.75">
      <c r="A59" s="76">
        <v>54</v>
      </c>
      <c r="B59" s="77" t="s">
        <v>60</v>
      </c>
      <c r="C59" s="339">
        <v>4559261</v>
      </c>
      <c r="D59" s="339">
        <v>4750805</v>
      </c>
      <c r="E59" s="346">
        <f t="shared" si="0"/>
        <v>191544</v>
      </c>
      <c r="F59" s="346">
        <v>4450134.9977</v>
      </c>
      <c r="G59" s="346">
        <f t="shared" si="1"/>
        <v>-300670.0022999998</v>
      </c>
      <c r="H59" s="346">
        <f t="shared" si="2"/>
        <v>-109126.00229999982</v>
      </c>
    </row>
    <row r="60" spans="1:8" ht="12.75">
      <c r="A60" s="115">
        <v>55</v>
      </c>
      <c r="B60" s="116" t="s">
        <v>61</v>
      </c>
      <c r="C60" s="340">
        <v>59301793</v>
      </c>
      <c r="D60" s="340">
        <v>62867691</v>
      </c>
      <c r="E60" s="347">
        <f t="shared" si="0"/>
        <v>3565898</v>
      </c>
      <c r="F60" s="347">
        <v>62128278.959</v>
      </c>
      <c r="G60" s="347">
        <f t="shared" si="1"/>
        <v>-739412.0410000011</v>
      </c>
      <c r="H60" s="347">
        <f t="shared" si="2"/>
        <v>2826485.958999999</v>
      </c>
    </row>
    <row r="61" spans="1:8" ht="12.75">
      <c r="A61" s="76">
        <v>56</v>
      </c>
      <c r="B61" s="77" t="s">
        <v>62</v>
      </c>
      <c r="C61" s="339">
        <v>11216583</v>
      </c>
      <c r="D61" s="339">
        <v>11579824</v>
      </c>
      <c r="E61" s="346">
        <f t="shared" si="0"/>
        <v>363241</v>
      </c>
      <c r="F61" s="346">
        <v>11644939.7962</v>
      </c>
      <c r="G61" s="346">
        <f t="shared" si="1"/>
        <v>65115.79619999975</v>
      </c>
      <c r="H61" s="346">
        <f t="shared" si="2"/>
        <v>428356.79619999975</v>
      </c>
    </row>
    <row r="62" spans="1:8" ht="12.75">
      <c r="A62" s="76">
        <v>57</v>
      </c>
      <c r="B62" s="77" t="s">
        <v>63</v>
      </c>
      <c r="C62" s="339">
        <v>24736059</v>
      </c>
      <c r="D62" s="339">
        <v>24469320</v>
      </c>
      <c r="E62" s="346">
        <f t="shared" si="0"/>
        <v>-266739</v>
      </c>
      <c r="F62" s="346">
        <v>26407852.3517</v>
      </c>
      <c r="G62" s="346">
        <f t="shared" si="1"/>
        <v>1938532.3517000005</v>
      </c>
      <c r="H62" s="346">
        <f t="shared" si="2"/>
        <v>1671793.3517000005</v>
      </c>
    </row>
    <row r="63" spans="1:8" ht="12.75">
      <c r="A63" s="76">
        <v>58</v>
      </c>
      <c r="B63" s="77" t="s">
        <v>64</v>
      </c>
      <c r="C63" s="339">
        <v>35914230</v>
      </c>
      <c r="D63" s="339">
        <v>36443654</v>
      </c>
      <c r="E63" s="346">
        <f t="shared" si="0"/>
        <v>529424</v>
      </c>
      <c r="F63" s="346">
        <v>36136610.1537</v>
      </c>
      <c r="G63" s="346">
        <f t="shared" si="1"/>
        <v>-307043.84629999846</v>
      </c>
      <c r="H63" s="346">
        <f t="shared" si="2"/>
        <v>222380.15370000154</v>
      </c>
    </row>
    <row r="64" spans="1:8" ht="12.75">
      <c r="A64" s="76">
        <v>59</v>
      </c>
      <c r="B64" s="77" t="s">
        <v>65</v>
      </c>
      <c r="C64" s="339">
        <v>18004724</v>
      </c>
      <c r="D64" s="339">
        <v>18532013</v>
      </c>
      <c r="E64" s="346">
        <f t="shared" si="0"/>
        <v>527289</v>
      </c>
      <c r="F64" s="346">
        <v>18631355.1751</v>
      </c>
      <c r="G64" s="346">
        <f t="shared" si="1"/>
        <v>99342.17509999871</v>
      </c>
      <c r="H64" s="346">
        <f t="shared" si="2"/>
        <v>626631.1750999987</v>
      </c>
    </row>
    <row r="65" spans="1:8" ht="12.75">
      <c r="A65" s="115">
        <v>60</v>
      </c>
      <c r="B65" s="116" t="s">
        <v>66</v>
      </c>
      <c r="C65" s="340">
        <v>23537862</v>
      </c>
      <c r="D65" s="340">
        <v>24814608</v>
      </c>
      <c r="E65" s="347">
        <f t="shared" si="0"/>
        <v>1276746</v>
      </c>
      <c r="F65" s="347">
        <v>24837005.9932</v>
      </c>
      <c r="G65" s="347">
        <f t="shared" si="1"/>
        <v>22397.993200000376</v>
      </c>
      <c r="H65" s="347">
        <f t="shared" si="2"/>
        <v>1299143.9932000004</v>
      </c>
    </row>
    <row r="66" spans="1:8" ht="12.75">
      <c r="A66" s="76">
        <v>61</v>
      </c>
      <c r="B66" s="77" t="s">
        <v>67</v>
      </c>
      <c r="C66" s="339">
        <v>8952363</v>
      </c>
      <c r="D66" s="339">
        <v>8830167</v>
      </c>
      <c r="E66" s="346">
        <f t="shared" si="0"/>
        <v>-122196</v>
      </c>
      <c r="F66" s="346">
        <v>8609772.6</v>
      </c>
      <c r="G66" s="346">
        <f t="shared" si="1"/>
        <v>-220394.40000000037</v>
      </c>
      <c r="H66" s="346">
        <f t="shared" si="2"/>
        <v>-342590.4000000004</v>
      </c>
    </row>
    <row r="67" spans="1:8" ht="12.75">
      <c r="A67" s="76">
        <v>62</v>
      </c>
      <c r="B67" s="77" t="s">
        <v>68</v>
      </c>
      <c r="C67" s="339">
        <v>8826650</v>
      </c>
      <c r="D67" s="339">
        <v>9199073</v>
      </c>
      <c r="E67" s="346">
        <f t="shared" si="0"/>
        <v>372423</v>
      </c>
      <c r="F67" s="346">
        <v>9151435.7394</v>
      </c>
      <c r="G67" s="346">
        <f t="shared" si="1"/>
        <v>-47637.26060000062</v>
      </c>
      <c r="H67" s="346">
        <f t="shared" si="2"/>
        <v>324785.7393999994</v>
      </c>
    </row>
    <row r="68" spans="1:8" ht="12.75">
      <c r="A68" s="76">
        <v>63</v>
      </c>
      <c r="B68" s="77" t="s">
        <v>69</v>
      </c>
      <c r="C68" s="339">
        <v>6764565</v>
      </c>
      <c r="D68" s="339">
        <v>6688670</v>
      </c>
      <c r="E68" s="346">
        <f t="shared" si="0"/>
        <v>-75895</v>
      </c>
      <c r="F68" s="346">
        <v>6688670</v>
      </c>
      <c r="G68" s="346">
        <f t="shared" si="1"/>
        <v>0</v>
      </c>
      <c r="H68" s="346">
        <f t="shared" si="2"/>
        <v>-75895</v>
      </c>
    </row>
    <row r="69" spans="1:8" ht="12.75">
      <c r="A69" s="76">
        <v>64</v>
      </c>
      <c r="B69" s="77" t="s">
        <v>70</v>
      </c>
      <c r="C69" s="339">
        <v>10456833</v>
      </c>
      <c r="D69" s="339">
        <v>10924710</v>
      </c>
      <c r="E69" s="346">
        <f t="shared" si="0"/>
        <v>467877</v>
      </c>
      <c r="F69" s="346">
        <v>10437347.4183</v>
      </c>
      <c r="G69" s="346">
        <f t="shared" si="1"/>
        <v>-487362.5817000009</v>
      </c>
      <c r="H69" s="346">
        <f t="shared" si="2"/>
        <v>-19485.581700000912</v>
      </c>
    </row>
    <row r="70" spans="1:8" ht="12.75">
      <c r="A70" s="76">
        <v>65</v>
      </c>
      <c r="B70" s="77" t="s">
        <v>71</v>
      </c>
      <c r="C70" s="339">
        <v>24482566</v>
      </c>
      <c r="D70" s="339">
        <v>24398975</v>
      </c>
      <c r="E70" s="346">
        <f>D70-C70</f>
        <v>-83591</v>
      </c>
      <c r="F70" s="346">
        <v>24376954.119999997</v>
      </c>
      <c r="G70" s="346">
        <f t="shared" si="1"/>
        <v>-22020.880000002682</v>
      </c>
      <c r="H70" s="346">
        <f t="shared" si="2"/>
        <v>-105611.88000000268</v>
      </c>
    </row>
    <row r="71" spans="1:8" ht="12.75">
      <c r="A71" s="76">
        <v>66</v>
      </c>
      <c r="B71" s="77" t="s">
        <v>72</v>
      </c>
      <c r="C71" s="339">
        <v>11154793</v>
      </c>
      <c r="D71" s="339">
        <v>11650547</v>
      </c>
      <c r="E71" s="346">
        <f>D71-C71</f>
        <v>495754</v>
      </c>
      <c r="F71" s="346">
        <v>11310473.2693</v>
      </c>
      <c r="G71" s="346">
        <f>F71-D71</f>
        <v>-340073.73069999926</v>
      </c>
      <c r="H71" s="346">
        <f>F71-C71</f>
        <v>155680.26930000074</v>
      </c>
    </row>
    <row r="72" spans="1:8" ht="12.75">
      <c r="A72" s="71"/>
      <c r="B72" s="72"/>
      <c r="C72" s="339"/>
      <c r="D72" s="339"/>
      <c r="E72" s="346"/>
      <c r="F72" s="346"/>
      <c r="G72" s="346"/>
      <c r="H72" s="346"/>
    </row>
    <row r="73" spans="1:8" ht="13.5" thickBot="1">
      <c r="A73" s="87"/>
      <c r="B73" s="88" t="s">
        <v>73</v>
      </c>
      <c r="C73" s="341">
        <f aca="true" t="shared" si="3" ref="C73:H73">SUM(C6:C72)</f>
        <v>2183801750</v>
      </c>
      <c r="D73" s="341">
        <f t="shared" si="3"/>
        <v>2243854176</v>
      </c>
      <c r="E73" s="341">
        <f t="shared" si="3"/>
        <v>60052426</v>
      </c>
      <c r="F73" s="341">
        <f t="shared" si="3"/>
        <v>2217589438.0222006</v>
      </c>
      <c r="G73" s="114">
        <f t="shared" si="3"/>
        <v>-26264737.97780002</v>
      </c>
      <c r="H73" s="341">
        <f t="shared" si="3"/>
        <v>33787688.02219998</v>
      </c>
    </row>
    <row r="74" ht="13.5" thickTop="1"/>
  </sheetData>
  <sheetProtection sheet="1" objects="1" scenarios="1"/>
  <mergeCells count="1">
    <mergeCell ref="A1:H1"/>
  </mergeCells>
  <printOptions horizontalCentered="1"/>
  <pageMargins left="0.28" right="0.32" top="0.65" bottom="1" header="0.17" footer="0.5"/>
  <pageSetup horizontalDpi="600" verticalDpi="600" orientation="portrait" paperSize="5" scale="85" r:id="rId1"/>
  <headerFooter alignWithMargins="0">
    <oddFooter>&amp;L&amp;F, &amp;D&amp;CPrepared by Division of Education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ntayal</dc:creator>
  <cp:keywords/>
  <dc:description/>
  <cp:lastModifiedBy>ldoe</cp:lastModifiedBy>
  <cp:lastPrinted>2000-02-15T15:38:47Z</cp:lastPrinted>
  <dcterms:created xsi:type="dcterms:W3CDTF">1999-11-15T20:37:39Z</dcterms:created>
  <dcterms:modified xsi:type="dcterms:W3CDTF">2012-12-19T02:16:10Z</dcterms:modified>
  <cp:category/>
  <cp:version/>
  <cp:contentType/>
  <cp:contentStatus/>
</cp:coreProperties>
</file>